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planning\_ข้อมูล 5 ด้าน\FTES\2558\"/>
    </mc:Choice>
  </mc:AlternateContent>
  <bookViews>
    <workbookView xWindow="0" yWindow="0" windowWidth="24000" windowHeight="9645"/>
  </bookViews>
  <sheets>
    <sheet name="ปกติ58" sheetId="2" r:id="rId1"/>
    <sheet name="พิเศษ58" sheetId="4" r:id="rId2"/>
    <sheet name="รวมปกติ" sheetId="1" r:id="rId3"/>
    <sheet name="รวมพิเศษ" sheetId="3" r:id="rId4"/>
    <sheet name="Sheet1" sheetId="5" state="hidden" r:id="rId5"/>
  </sheets>
  <definedNames>
    <definedName name="_xlnm.Print_Titles" localSheetId="0">ปกติ58!$2:$3</definedName>
    <definedName name="_xlnm.Print_Titles" localSheetId="1">พิเศษ58!$2:$3</definedName>
    <definedName name="_xlnm.Print_Titles" localSheetId="2">รวมปกติ!$2:$2</definedName>
    <definedName name="_xlnm.Print_Titles" localSheetId="3">รวมพิเศษ!$2:$2</definedName>
  </definedNames>
  <calcPr calcId="162913"/>
</workbook>
</file>

<file path=xl/calcChain.xml><?xml version="1.0" encoding="utf-8"?>
<calcChain xmlns="http://schemas.openxmlformats.org/spreadsheetml/2006/main">
  <c r="K203" i="4" l="1"/>
  <c r="K250" i="4" l="1"/>
  <c r="K191" i="4"/>
  <c r="K159" i="4"/>
  <c r="K197" i="4"/>
  <c r="K207" i="4"/>
  <c r="K209" i="4"/>
  <c r="K18" i="4"/>
  <c r="K104" i="2" l="1"/>
  <c r="K284" i="2"/>
  <c r="K209" i="2"/>
  <c r="K270" i="2" l="1"/>
  <c r="K266" i="2"/>
  <c r="K259" i="2"/>
  <c r="K257" i="2"/>
  <c r="K117" i="2"/>
  <c r="K52" i="2"/>
  <c r="K56" i="2"/>
  <c r="K218" i="2"/>
  <c r="K13" i="2"/>
  <c r="K113" i="2"/>
  <c r="K5" i="2"/>
  <c r="K100" i="2"/>
  <c r="K21" i="2"/>
  <c r="K241" i="2"/>
  <c r="K155" i="2"/>
  <c r="K225" i="2"/>
  <c r="K234" i="2"/>
  <c r="K231" i="2"/>
  <c r="K228" i="2"/>
  <c r="K222" i="2"/>
  <c r="K181" i="2"/>
  <c r="K165" i="2"/>
  <c r="K169" i="2"/>
  <c r="K168" i="2"/>
  <c r="K175" i="2"/>
  <c r="K174" i="2"/>
  <c r="K162" i="2"/>
  <c r="K159" i="2"/>
  <c r="K185" i="2"/>
  <c r="K201" i="2"/>
  <c r="K139" i="2"/>
  <c r="K136" i="2"/>
  <c r="K124" i="2"/>
  <c r="K121" i="2"/>
  <c r="K90" i="2"/>
  <c r="K84" i="2"/>
  <c r="K81" i="2"/>
  <c r="K87" i="2"/>
  <c r="K75" i="2"/>
  <c r="K69" i="2"/>
  <c r="K66" i="2"/>
  <c r="K60" i="2"/>
  <c r="G17" i="2"/>
  <c r="K17" i="2"/>
  <c r="K284" i="4"/>
  <c r="K259" i="4"/>
  <c r="K258" i="4"/>
  <c r="K257" i="4"/>
  <c r="K117" i="4"/>
  <c r="K52" i="4"/>
  <c r="K114" i="4"/>
  <c r="K113" i="4"/>
  <c r="K6" i="4"/>
  <c r="K5" i="4"/>
  <c r="K106" i="4"/>
  <c r="K101" i="4"/>
  <c r="K100" i="4"/>
  <c r="K104" i="4"/>
  <c r="K105" i="4"/>
  <c r="K103" i="4"/>
  <c r="K98" i="4"/>
  <c r="K155" i="4"/>
  <c r="K251" i="4"/>
  <c r="K234" i="4"/>
  <c r="K232" i="4"/>
  <c r="K231" i="4"/>
  <c r="K228" i="4"/>
  <c r="K223" i="4"/>
  <c r="K222" i="4"/>
  <c r="K226" i="4"/>
  <c r="K181" i="4"/>
  <c r="K165" i="4"/>
  <c r="K168" i="4"/>
  <c r="K172" i="4"/>
  <c r="K171" i="4"/>
  <c r="K175" i="4"/>
  <c r="K174" i="4"/>
  <c r="K162" i="4"/>
  <c r="K189" i="4"/>
  <c r="K185" i="4"/>
  <c r="K193" i="4"/>
  <c r="K204" i="4"/>
  <c r="K139" i="4"/>
  <c r="K136" i="4"/>
  <c r="K130" i="4"/>
  <c r="K124" i="4"/>
  <c r="K121" i="4"/>
  <c r="K81" i="4"/>
  <c r="K90" i="4"/>
  <c r="K64" i="4"/>
  <c r="K63" i="4"/>
  <c r="K75" i="4"/>
  <c r="K69" i="4"/>
  <c r="K66" i="4"/>
  <c r="K60" i="4"/>
  <c r="C18" i="4" l="1"/>
  <c r="O199" i="2" l="1"/>
  <c r="L288" i="4" l="1"/>
  <c r="D288" i="4"/>
  <c r="H288" i="4"/>
  <c r="O288" i="4"/>
  <c r="P288" i="4"/>
  <c r="L289" i="4"/>
  <c r="M289" i="4" s="1"/>
  <c r="D289" i="4"/>
  <c r="E289" i="4" s="1"/>
  <c r="H289" i="4"/>
  <c r="I289" i="4" s="1"/>
  <c r="O289" i="4"/>
  <c r="P289" i="4" s="1"/>
  <c r="Q289" i="4" s="1"/>
  <c r="L290" i="4"/>
  <c r="M290" i="4" s="1"/>
  <c r="D290" i="4"/>
  <c r="E290" i="4"/>
  <c r="H290" i="4"/>
  <c r="I290" i="4" s="1"/>
  <c r="O290" i="4"/>
  <c r="P290" i="4" s="1"/>
  <c r="Q290" i="4" s="1"/>
  <c r="J288" i="4" l="1"/>
  <c r="R288" i="4"/>
  <c r="N288" i="4"/>
  <c r="F288" i="4"/>
  <c r="G209" i="2"/>
  <c r="G205" i="2"/>
  <c r="G203" i="2"/>
  <c r="G201" i="2"/>
  <c r="G192" i="2"/>
  <c r="G191" i="2"/>
  <c r="G189" i="2"/>
  <c r="G195" i="2"/>
  <c r="G193" i="2"/>
  <c r="G187" i="2"/>
  <c r="G185" i="2"/>
  <c r="K9" i="5"/>
  <c r="C203" i="2"/>
  <c r="C191" i="2"/>
  <c r="C195" i="2"/>
  <c r="C187" i="2"/>
  <c r="C209" i="2"/>
  <c r="C201" i="2"/>
  <c r="C193" i="2"/>
  <c r="C189" i="2"/>
  <c r="C185" i="2"/>
  <c r="F9" i="5"/>
  <c r="G9" i="5"/>
  <c r="I9" i="5"/>
  <c r="D9" i="5"/>
  <c r="B9" i="5" l="1"/>
  <c r="C10" i="5" l="1"/>
  <c r="E10" i="5"/>
  <c r="C8" i="5"/>
  <c r="C5" i="5"/>
  <c r="J10" i="5"/>
  <c r="H10" i="5"/>
  <c r="C4" i="5"/>
  <c r="G207" i="4"/>
  <c r="C6" i="5" l="1"/>
  <c r="C9" i="5" s="1"/>
  <c r="C7" i="5"/>
  <c r="C2" i="5"/>
  <c r="C3" i="5"/>
  <c r="E6" i="5"/>
  <c r="E3" i="5"/>
  <c r="E7" i="5"/>
  <c r="E4" i="5"/>
  <c r="E8" i="5"/>
  <c r="E5" i="5"/>
  <c r="E2" i="5"/>
  <c r="H7" i="5"/>
  <c r="H6" i="5"/>
  <c r="H3" i="5"/>
  <c r="H4" i="5"/>
  <c r="H8" i="5"/>
  <c r="H5" i="5"/>
  <c r="H2" i="5"/>
  <c r="J6" i="5"/>
  <c r="J3" i="5"/>
  <c r="J7" i="5"/>
  <c r="J4" i="5"/>
  <c r="J8" i="5"/>
  <c r="J5" i="5"/>
  <c r="J2" i="5"/>
  <c r="G284" i="4"/>
  <c r="C284" i="4"/>
  <c r="C258" i="4"/>
  <c r="C274" i="4"/>
  <c r="G270" i="4"/>
  <c r="C270" i="4"/>
  <c r="C266" i="4"/>
  <c r="G258" i="4"/>
  <c r="G257" i="4"/>
  <c r="C259" i="4"/>
  <c r="C257" i="4"/>
  <c r="G118" i="4"/>
  <c r="G117" i="4"/>
  <c r="C118" i="4"/>
  <c r="C117" i="4"/>
  <c r="G52" i="4"/>
  <c r="C52" i="4"/>
  <c r="E9" i="5" l="1"/>
  <c r="H9" i="5"/>
  <c r="J9" i="5"/>
  <c r="G114" i="4"/>
  <c r="G113" i="4"/>
  <c r="C114" i="4"/>
  <c r="C113" i="4"/>
  <c r="G7" i="4" l="1"/>
  <c r="G6" i="4"/>
  <c r="G5" i="4"/>
  <c r="C7" i="4"/>
  <c r="C6" i="4"/>
  <c r="C5" i="4"/>
  <c r="G107" i="4"/>
  <c r="G106" i="4"/>
  <c r="G105" i="4"/>
  <c r="G104" i="4"/>
  <c r="G103" i="4"/>
  <c r="G101" i="4"/>
  <c r="G100" i="4"/>
  <c r="G98" i="4"/>
  <c r="G97" i="4"/>
  <c r="C107" i="4"/>
  <c r="C106" i="4"/>
  <c r="C105" i="4"/>
  <c r="C104" i="4"/>
  <c r="C103" i="4"/>
  <c r="C101" i="4"/>
  <c r="C100" i="4"/>
  <c r="C98" i="4"/>
  <c r="C97" i="4"/>
  <c r="G250" i="4"/>
  <c r="C250" i="4"/>
  <c r="G251" i="4"/>
  <c r="C251" i="4"/>
  <c r="G234" i="4"/>
  <c r="G232" i="4"/>
  <c r="G231" i="4"/>
  <c r="G229" i="4"/>
  <c r="G228" i="4"/>
  <c r="G226" i="4"/>
  <c r="G225" i="4"/>
  <c r="G223" i="4"/>
  <c r="G222" i="4"/>
  <c r="C235" i="4"/>
  <c r="C234" i="4"/>
  <c r="C232" i="4"/>
  <c r="C231" i="4"/>
  <c r="C229" i="4"/>
  <c r="C228" i="4"/>
  <c r="C226" i="4"/>
  <c r="C225" i="4"/>
  <c r="C223" i="4"/>
  <c r="C222" i="4"/>
  <c r="G175" i="4"/>
  <c r="G174" i="4"/>
  <c r="G172" i="4"/>
  <c r="G171" i="4"/>
  <c r="G168" i="4"/>
  <c r="G165" i="4"/>
  <c r="G163" i="4"/>
  <c r="G162" i="4"/>
  <c r="G160" i="4"/>
  <c r="G159" i="4"/>
  <c r="C175" i="4"/>
  <c r="C174" i="4"/>
  <c r="C172" i="4"/>
  <c r="C171" i="4"/>
  <c r="C168" i="4"/>
  <c r="C165" i="4"/>
  <c r="C163" i="4"/>
  <c r="C162" i="4"/>
  <c r="C160" i="4"/>
  <c r="C159" i="4"/>
  <c r="G148" i="4" l="1"/>
  <c r="G142" i="4"/>
  <c r="G140" i="4"/>
  <c r="G139" i="4"/>
  <c r="G136" i="4"/>
  <c r="G134" i="4"/>
  <c r="G133" i="4"/>
  <c r="G130" i="4"/>
  <c r="G127" i="4"/>
  <c r="G125" i="4"/>
  <c r="G124" i="4"/>
  <c r="C148" i="4"/>
  <c r="C146" i="4"/>
  <c r="C145" i="4"/>
  <c r="C142" i="4"/>
  <c r="C140" i="4"/>
  <c r="C139" i="4"/>
  <c r="C136" i="4"/>
  <c r="C134" i="4"/>
  <c r="C133" i="4"/>
  <c r="C130" i="4"/>
  <c r="C127" i="4"/>
  <c r="C125" i="4"/>
  <c r="C124" i="4"/>
  <c r="C122" i="4"/>
  <c r="C121" i="4"/>
  <c r="G246" i="4" l="1"/>
  <c r="C246" i="4"/>
  <c r="G182" i="4"/>
  <c r="G181" i="4"/>
  <c r="C182" i="4"/>
  <c r="C181" i="4"/>
  <c r="G155" i="4" l="1"/>
  <c r="C155" i="4"/>
  <c r="G90" i="4"/>
  <c r="G87" i="4"/>
  <c r="G84" i="4"/>
  <c r="G82" i="4"/>
  <c r="G81" i="4"/>
  <c r="G76" i="4"/>
  <c r="G75" i="4"/>
  <c r="G72" i="4"/>
  <c r="G70" i="4"/>
  <c r="G69" i="4"/>
  <c r="G66" i="4"/>
  <c r="G64" i="4"/>
  <c r="G63" i="4"/>
  <c r="G60" i="4"/>
  <c r="C90" i="4"/>
  <c r="C87" i="4"/>
  <c r="C84" i="4"/>
  <c r="C82" i="4"/>
  <c r="C81" i="4"/>
  <c r="C76" i="4"/>
  <c r="C75" i="4"/>
  <c r="C72" i="4"/>
  <c r="C70" i="4"/>
  <c r="C69" i="4"/>
  <c r="C66" i="4"/>
  <c r="C64" i="4"/>
  <c r="C63" i="4"/>
  <c r="C60" i="4"/>
  <c r="G18" i="4"/>
  <c r="G258" i="2"/>
  <c r="C259" i="2"/>
  <c r="G288" i="2"/>
  <c r="G284" i="2"/>
  <c r="C284" i="2"/>
  <c r="C288" i="2"/>
  <c r="G104" i="2"/>
  <c r="C104" i="2"/>
  <c r="C98" i="2"/>
  <c r="C274" i="2"/>
  <c r="G274" i="2"/>
  <c r="G270" i="2"/>
  <c r="C270" i="2"/>
  <c r="G266" i="2"/>
  <c r="C266" i="2"/>
  <c r="G259" i="2"/>
  <c r="G257" i="2"/>
  <c r="C258" i="2"/>
  <c r="C257" i="2"/>
  <c r="G119" i="2"/>
  <c r="G118" i="2"/>
  <c r="G117" i="2"/>
  <c r="C119" i="2"/>
  <c r="C118" i="2"/>
  <c r="C117" i="2"/>
  <c r="G54" i="2"/>
  <c r="G53" i="2"/>
  <c r="G52" i="2"/>
  <c r="C54" i="2"/>
  <c r="C53" i="2"/>
  <c r="C52" i="2"/>
  <c r="G56" i="2"/>
  <c r="C56" i="2"/>
  <c r="G219" i="2"/>
  <c r="G218" i="2"/>
  <c r="C219" i="2"/>
  <c r="C218" i="2"/>
  <c r="G255" i="2"/>
  <c r="G254" i="2"/>
  <c r="C255" i="2"/>
  <c r="C254" i="2"/>
  <c r="G115" i="2"/>
  <c r="G114" i="2"/>
  <c r="G113" i="2"/>
  <c r="C115" i="2"/>
  <c r="C114" i="2"/>
  <c r="C113" i="2"/>
  <c r="G5" i="2"/>
  <c r="C5" i="2"/>
  <c r="G234" i="2"/>
  <c r="G231" i="2"/>
  <c r="G229" i="2"/>
  <c r="G228" i="2"/>
  <c r="G227" i="2"/>
  <c r="G226" i="2"/>
  <c r="G225" i="2"/>
  <c r="G222" i="2"/>
  <c r="C234" i="2"/>
  <c r="C231" i="2"/>
  <c r="C228" i="2"/>
  <c r="C227" i="2"/>
  <c r="C226" i="2"/>
  <c r="C225" i="2"/>
  <c r="C222" i="2"/>
  <c r="G107" i="2"/>
  <c r="G106" i="2"/>
  <c r="G103" i="2"/>
  <c r="G100" i="2"/>
  <c r="G97" i="2"/>
  <c r="C106" i="2"/>
  <c r="C103" i="2"/>
  <c r="C100" i="2"/>
  <c r="C97" i="2"/>
  <c r="G50" i="4"/>
  <c r="G49" i="4"/>
  <c r="G48" i="4"/>
  <c r="C50" i="4"/>
  <c r="C49" i="4"/>
  <c r="C48" i="4"/>
  <c r="K48" i="4"/>
  <c r="K50" i="4"/>
  <c r="K49" i="4"/>
  <c r="O42" i="2"/>
  <c r="P42" i="2" s="1"/>
  <c r="G50" i="2"/>
  <c r="G49" i="2"/>
  <c r="G48" i="2"/>
  <c r="C50" i="2"/>
  <c r="C49" i="2"/>
  <c r="C48" i="2"/>
  <c r="K49" i="2"/>
  <c r="K50" i="2"/>
  <c r="K48" i="2"/>
  <c r="O44" i="4"/>
  <c r="P44" i="4" s="1"/>
  <c r="Q44" i="4" s="1"/>
  <c r="H44" i="4"/>
  <c r="I44" i="4" s="1"/>
  <c r="D44" i="4"/>
  <c r="E44" i="4" s="1"/>
  <c r="L44" i="4"/>
  <c r="M44" i="4" s="1"/>
  <c r="O43" i="4"/>
  <c r="P43" i="4" s="1"/>
  <c r="Q43" i="4" s="1"/>
  <c r="H43" i="4"/>
  <c r="I43" i="4" s="1"/>
  <c r="D43" i="4"/>
  <c r="E43" i="4" s="1"/>
  <c r="L43" i="4"/>
  <c r="M43" i="4" s="1"/>
  <c r="O42" i="4"/>
  <c r="P42" i="4" s="1"/>
  <c r="H42" i="4"/>
  <c r="D42" i="4"/>
  <c r="L42" i="4"/>
  <c r="O44" i="2"/>
  <c r="P44" i="2" s="1"/>
  <c r="Q44" i="2" s="1"/>
  <c r="H44" i="2"/>
  <c r="I44" i="2" s="1"/>
  <c r="D44" i="2"/>
  <c r="E44" i="2" s="1"/>
  <c r="L44" i="2"/>
  <c r="M44" i="2" s="1"/>
  <c r="O43" i="2"/>
  <c r="P43" i="2" s="1"/>
  <c r="Q43" i="2" s="1"/>
  <c r="H43" i="2"/>
  <c r="I43" i="2" s="1"/>
  <c r="D43" i="2"/>
  <c r="E43" i="2" s="1"/>
  <c r="L43" i="2"/>
  <c r="M43" i="2" s="1"/>
  <c r="H42" i="2"/>
  <c r="D42" i="2"/>
  <c r="L42" i="2"/>
  <c r="O48" i="4" l="1"/>
  <c r="N42" i="4"/>
  <c r="F42" i="4"/>
  <c r="J42" i="4"/>
  <c r="R42" i="2"/>
  <c r="N42" i="2"/>
  <c r="O48" i="2"/>
  <c r="R42" i="4"/>
  <c r="F42" i="2"/>
  <c r="J42" i="2"/>
  <c r="G247" i="2"/>
  <c r="C247" i="2"/>
  <c r="G156" i="2"/>
  <c r="G155" i="2"/>
  <c r="C156" i="2"/>
  <c r="C246" i="2"/>
  <c r="G9" i="2"/>
  <c r="C9" i="2"/>
  <c r="G183" i="2"/>
  <c r="G181" i="2"/>
  <c r="C183" i="2"/>
  <c r="C181" i="2"/>
  <c r="G159" i="2"/>
  <c r="C159" i="2"/>
  <c r="G147" i="2"/>
  <c r="G146" i="2"/>
  <c r="C147" i="2"/>
  <c r="C146" i="2"/>
  <c r="C145" i="2"/>
  <c r="G18" i="2"/>
  <c r="C18" i="2"/>
  <c r="C17" i="2"/>
  <c r="G111" i="2" l="1"/>
  <c r="G110" i="2"/>
  <c r="C111" i="2"/>
  <c r="C109" i="2"/>
  <c r="K111" i="2"/>
  <c r="K110" i="2"/>
  <c r="K109" i="2"/>
  <c r="C110" i="2"/>
  <c r="O105" i="2"/>
  <c r="P105" i="2" s="1"/>
  <c r="Q105" i="2" s="1"/>
  <c r="H105" i="2"/>
  <c r="I105" i="2" s="1"/>
  <c r="D105" i="2"/>
  <c r="E105" i="2" s="1"/>
  <c r="L105" i="2"/>
  <c r="M105" i="2" s="1"/>
  <c r="O104" i="2"/>
  <c r="P104" i="2" s="1"/>
  <c r="Q104" i="2" s="1"/>
  <c r="H104" i="2"/>
  <c r="I104" i="2" s="1"/>
  <c r="D104" i="2"/>
  <c r="E104" i="2" s="1"/>
  <c r="L104" i="2"/>
  <c r="M104" i="2" s="1"/>
  <c r="O103" i="2"/>
  <c r="P103" i="2" s="1"/>
  <c r="H103" i="2"/>
  <c r="D103" i="2"/>
  <c r="L103" i="2"/>
  <c r="G109" i="2"/>
  <c r="G213" i="2"/>
  <c r="N103" i="2" l="1"/>
  <c r="O109" i="2"/>
  <c r="R103" i="2"/>
  <c r="F103" i="2"/>
  <c r="J103" i="2"/>
  <c r="G295" i="2" l="1"/>
  <c r="F58" i="1"/>
  <c r="C58" i="1"/>
  <c r="E58" i="1"/>
  <c r="D58" i="1"/>
  <c r="O290" i="2"/>
  <c r="P290" i="2" s="1"/>
  <c r="Q290" i="2" s="1"/>
  <c r="D290" i="2"/>
  <c r="E290" i="2" s="1"/>
  <c r="L290" i="2"/>
  <c r="M290" i="2" s="1"/>
  <c r="H290" i="2"/>
  <c r="I290" i="2" s="1"/>
  <c r="O289" i="2"/>
  <c r="P289" i="2" s="1"/>
  <c r="Q289" i="2" s="1"/>
  <c r="D289" i="2"/>
  <c r="E289" i="2" s="1"/>
  <c r="L289" i="2"/>
  <c r="M289" i="2" s="1"/>
  <c r="H289" i="2"/>
  <c r="I289" i="2" s="1"/>
  <c r="O288" i="2"/>
  <c r="P288" i="2" s="1"/>
  <c r="F57" i="1" s="1"/>
  <c r="D288" i="2"/>
  <c r="C57" i="1" s="1"/>
  <c r="L288" i="2"/>
  <c r="E57" i="1" s="1"/>
  <c r="H288" i="2"/>
  <c r="D57" i="1" s="1"/>
  <c r="F288" i="2" l="1"/>
  <c r="N288" i="2"/>
  <c r="J288" i="2"/>
  <c r="R288" i="2"/>
  <c r="O5" i="4" l="1"/>
  <c r="P5" i="4" s="1"/>
  <c r="O9" i="2"/>
  <c r="L18" i="2" l="1"/>
  <c r="L58" i="2"/>
  <c r="L57" i="2"/>
  <c r="L56" i="2"/>
  <c r="L54" i="2"/>
  <c r="L53" i="2"/>
  <c r="L52" i="2"/>
  <c r="L21" i="2"/>
  <c r="L5" i="2"/>
  <c r="L9" i="2"/>
  <c r="L13" i="2"/>
  <c r="L17" i="2"/>
  <c r="C151" i="2" l="1"/>
  <c r="G177" i="4" l="1"/>
  <c r="G179" i="4"/>
  <c r="G178" i="4"/>
  <c r="E5" i="1" l="1"/>
  <c r="D9" i="2"/>
  <c r="C5" i="1" s="1"/>
  <c r="O11" i="4"/>
  <c r="P11" i="4" s="1"/>
  <c r="Q11" i="4" s="1"/>
  <c r="D11" i="4"/>
  <c r="E11" i="4" s="1"/>
  <c r="L11" i="4"/>
  <c r="M11" i="4" s="1"/>
  <c r="H11" i="4"/>
  <c r="I11" i="4" s="1"/>
  <c r="O10" i="4"/>
  <c r="P10" i="4" s="1"/>
  <c r="Q10" i="4" s="1"/>
  <c r="D10" i="4"/>
  <c r="E10" i="4" s="1"/>
  <c r="C6" i="3" s="1"/>
  <c r="L10" i="4"/>
  <c r="M10" i="4" s="1"/>
  <c r="H10" i="4"/>
  <c r="I10" i="4" s="1"/>
  <c r="O9" i="4"/>
  <c r="P9" i="4" s="1"/>
  <c r="D9" i="4"/>
  <c r="C5" i="3" s="1"/>
  <c r="L9" i="4"/>
  <c r="E5" i="3" s="1"/>
  <c r="H9" i="4"/>
  <c r="O11" i="2"/>
  <c r="P11" i="2" s="1"/>
  <c r="Q11" i="2" s="1"/>
  <c r="D11" i="2"/>
  <c r="E11" i="2" s="1"/>
  <c r="L11" i="2"/>
  <c r="M11" i="2" s="1"/>
  <c r="H11" i="2"/>
  <c r="I11" i="2" s="1"/>
  <c r="O10" i="2"/>
  <c r="P10" i="2" s="1"/>
  <c r="Q10" i="2" s="1"/>
  <c r="D10" i="2"/>
  <c r="E10" i="2" s="1"/>
  <c r="L10" i="2"/>
  <c r="M10" i="2" s="1"/>
  <c r="H10" i="2"/>
  <c r="I10" i="2" s="1"/>
  <c r="D6" i="1" s="1"/>
  <c r="P9" i="2"/>
  <c r="F5" i="1" s="1"/>
  <c r="H9" i="2"/>
  <c r="D5" i="1" s="1"/>
  <c r="H13" i="2"/>
  <c r="O13" i="2"/>
  <c r="P13" i="2" s="1"/>
  <c r="F7" i="1" s="1"/>
  <c r="H14" i="2"/>
  <c r="I14" i="2" s="1"/>
  <c r="L14" i="2"/>
  <c r="M14" i="2" s="1"/>
  <c r="D14" i="2"/>
  <c r="E14" i="2" s="1"/>
  <c r="O14" i="2"/>
  <c r="P14" i="2" s="1"/>
  <c r="Q14" i="2" s="1"/>
  <c r="H15" i="2"/>
  <c r="I15" i="2" s="1"/>
  <c r="L15" i="2"/>
  <c r="M15" i="2" s="1"/>
  <c r="D15" i="2"/>
  <c r="E15" i="2" s="1"/>
  <c r="O15" i="2"/>
  <c r="P15" i="2" s="1"/>
  <c r="Q15" i="2" s="1"/>
  <c r="J9" i="4" l="1"/>
  <c r="D6" i="3"/>
  <c r="C6" i="1"/>
  <c r="F6" i="1"/>
  <c r="F6" i="3"/>
  <c r="E6" i="3"/>
  <c r="F8" i="1"/>
  <c r="E6" i="1"/>
  <c r="N9" i="2"/>
  <c r="R9" i="4"/>
  <c r="F5" i="3"/>
  <c r="D5" i="3"/>
  <c r="F9" i="2"/>
  <c r="J13" i="2"/>
  <c r="J9" i="2"/>
  <c r="N9" i="4"/>
  <c r="F9" i="4"/>
  <c r="R13" i="2"/>
  <c r="N13" i="2"/>
  <c r="R9" i="2"/>
  <c r="D13" i="2"/>
  <c r="F13" i="2" s="1"/>
  <c r="D7" i="1" l="1"/>
  <c r="C8" i="1"/>
  <c r="D8" i="1"/>
  <c r="O222" i="2"/>
  <c r="P222" i="2" s="1"/>
  <c r="L6" i="2"/>
  <c r="M6" i="2" s="1"/>
  <c r="L7" i="2"/>
  <c r="M7" i="2" s="1"/>
  <c r="M18" i="2"/>
  <c r="L19" i="2"/>
  <c r="M19" i="2" s="1"/>
  <c r="L22" i="2"/>
  <c r="M22" i="2" s="1"/>
  <c r="L23" i="2"/>
  <c r="M23" i="2" s="1"/>
  <c r="L24" i="2"/>
  <c r="L25" i="2"/>
  <c r="M25" i="2" s="1"/>
  <c r="L26" i="2"/>
  <c r="M26" i="2" s="1"/>
  <c r="L27" i="2"/>
  <c r="L28" i="2"/>
  <c r="M28" i="2" s="1"/>
  <c r="L29" i="2"/>
  <c r="M29" i="2" s="1"/>
  <c r="L30" i="2"/>
  <c r="L31" i="2"/>
  <c r="M31" i="2" s="1"/>
  <c r="L32" i="2"/>
  <c r="M32" i="2" s="1"/>
  <c r="L33" i="2"/>
  <c r="L34" i="2"/>
  <c r="M34" i="2" s="1"/>
  <c r="L35" i="2"/>
  <c r="M35" i="2" s="1"/>
  <c r="L36" i="2"/>
  <c r="L37" i="2"/>
  <c r="M37" i="2" s="1"/>
  <c r="L38" i="2"/>
  <c r="M38" i="2" s="1"/>
  <c r="L39" i="2"/>
  <c r="L40" i="2"/>
  <c r="M40" i="2" s="1"/>
  <c r="L41" i="2"/>
  <c r="M41" i="2" s="1"/>
  <c r="L45" i="2"/>
  <c r="L46" i="2"/>
  <c r="M46" i="2" s="1"/>
  <c r="L47" i="2"/>
  <c r="M47" i="2" s="1"/>
  <c r="L48" i="2"/>
  <c r="L49" i="2"/>
  <c r="M49" i="2" s="1"/>
  <c r="L50" i="2"/>
  <c r="M50" i="2" s="1"/>
  <c r="M53" i="2"/>
  <c r="M54" i="2"/>
  <c r="M57" i="2"/>
  <c r="M58" i="2"/>
  <c r="L60" i="2"/>
  <c r="L61" i="2"/>
  <c r="M61" i="2" s="1"/>
  <c r="L62" i="2"/>
  <c r="M62" i="2" s="1"/>
  <c r="L63" i="2"/>
  <c r="L64" i="2"/>
  <c r="M64" i="2" s="1"/>
  <c r="L65" i="2"/>
  <c r="M65" i="2" s="1"/>
  <c r="L66" i="2"/>
  <c r="L67" i="2"/>
  <c r="M67" i="2" s="1"/>
  <c r="L68" i="2"/>
  <c r="M68" i="2" s="1"/>
  <c r="L69" i="2"/>
  <c r="L70" i="2"/>
  <c r="M70" i="2" s="1"/>
  <c r="L71" i="2"/>
  <c r="M71" i="2" s="1"/>
  <c r="L72" i="2"/>
  <c r="L73" i="2"/>
  <c r="M73" i="2" s="1"/>
  <c r="L74" i="2"/>
  <c r="M74" i="2" s="1"/>
  <c r="L75" i="2"/>
  <c r="L76" i="2"/>
  <c r="M76" i="2" s="1"/>
  <c r="L77" i="2"/>
  <c r="M77" i="2" s="1"/>
  <c r="L78" i="2"/>
  <c r="L79" i="2"/>
  <c r="M79" i="2" s="1"/>
  <c r="L80" i="2"/>
  <c r="M80" i="2" s="1"/>
  <c r="L81" i="2"/>
  <c r="L82" i="2"/>
  <c r="M82" i="2" s="1"/>
  <c r="L83" i="2"/>
  <c r="M83" i="2" s="1"/>
  <c r="L84" i="2"/>
  <c r="L85" i="2"/>
  <c r="M85" i="2" s="1"/>
  <c r="L86" i="2"/>
  <c r="M86" i="2" s="1"/>
  <c r="L87" i="2"/>
  <c r="L88" i="2"/>
  <c r="M88" i="2" s="1"/>
  <c r="L89" i="2"/>
  <c r="M89" i="2" s="1"/>
  <c r="L90" i="2"/>
  <c r="L91" i="2"/>
  <c r="M91" i="2" s="1"/>
  <c r="L92" i="2"/>
  <c r="M92" i="2" s="1"/>
  <c r="K94" i="2"/>
  <c r="L94" i="2" s="1"/>
  <c r="K95" i="2"/>
  <c r="L95" i="2" s="1"/>
  <c r="L97" i="2"/>
  <c r="L98" i="2"/>
  <c r="M98" i="2" s="1"/>
  <c r="L99" i="2"/>
  <c r="M99" i="2" s="1"/>
  <c r="L109" i="2"/>
  <c r="L100" i="2"/>
  <c r="L101" i="2"/>
  <c r="M101" i="2" s="1"/>
  <c r="L102" i="2"/>
  <c r="M102" i="2" s="1"/>
  <c r="L106" i="2"/>
  <c r="L107" i="2"/>
  <c r="M107" i="2" s="1"/>
  <c r="L108" i="2"/>
  <c r="M108" i="2" s="1"/>
  <c r="L111" i="2"/>
  <c r="M111" i="2" s="1"/>
  <c r="L113" i="2"/>
  <c r="L114" i="2"/>
  <c r="M114" i="2" s="1"/>
  <c r="L115" i="2"/>
  <c r="M115" i="2" s="1"/>
  <c r="L117" i="2"/>
  <c r="L118" i="2"/>
  <c r="M118" i="2" s="1"/>
  <c r="L119" i="2"/>
  <c r="M119" i="2" s="1"/>
  <c r="L121" i="2"/>
  <c r="L122" i="2"/>
  <c r="M122" i="2" s="1"/>
  <c r="L123" i="2"/>
  <c r="M123" i="2" s="1"/>
  <c r="L124" i="2"/>
  <c r="L125" i="2"/>
  <c r="M125" i="2" s="1"/>
  <c r="L126" i="2"/>
  <c r="M126" i="2" s="1"/>
  <c r="L127" i="2"/>
  <c r="L128" i="2"/>
  <c r="M128" i="2" s="1"/>
  <c r="L129" i="2"/>
  <c r="M129" i="2" s="1"/>
  <c r="L130" i="2"/>
  <c r="L131" i="2"/>
  <c r="M131" i="2" s="1"/>
  <c r="L132" i="2"/>
  <c r="M132" i="2" s="1"/>
  <c r="L133" i="2"/>
  <c r="L134" i="2"/>
  <c r="M134" i="2" s="1"/>
  <c r="L135" i="2"/>
  <c r="M135" i="2" s="1"/>
  <c r="L136" i="2"/>
  <c r="L137" i="2"/>
  <c r="M137" i="2" s="1"/>
  <c r="L138" i="2"/>
  <c r="M138" i="2" s="1"/>
  <c r="L139" i="2"/>
  <c r="L140" i="2"/>
  <c r="M140" i="2" s="1"/>
  <c r="L141" i="2"/>
  <c r="M141" i="2" s="1"/>
  <c r="L142" i="2"/>
  <c r="L143" i="2"/>
  <c r="M143" i="2" s="1"/>
  <c r="L144" i="2"/>
  <c r="M144" i="2" s="1"/>
  <c r="K151" i="2"/>
  <c r="L151" i="2" s="1"/>
  <c r="L146" i="2"/>
  <c r="M146" i="2" s="1"/>
  <c r="L147" i="2"/>
  <c r="M147" i="2" s="1"/>
  <c r="L148" i="2"/>
  <c r="L149" i="2"/>
  <c r="M149" i="2" s="1"/>
  <c r="L150" i="2"/>
  <c r="M150" i="2" s="1"/>
  <c r="L155" i="2"/>
  <c r="L156" i="2"/>
  <c r="M156" i="2" s="1"/>
  <c r="L157" i="2"/>
  <c r="M157" i="2" s="1"/>
  <c r="L159" i="2"/>
  <c r="L160" i="2"/>
  <c r="M160" i="2" s="1"/>
  <c r="L161" i="2"/>
  <c r="M161" i="2" s="1"/>
  <c r="L162" i="2"/>
  <c r="L163" i="2"/>
  <c r="M163" i="2" s="1"/>
  <c r="L164" i="2"/>
  <c r="M164" i="2" s="1"/>
  <c r="L165" i="2"/>
  <c r="L166" i="2"/>
  <c r="M166" i="2" s="1"/>
  <c r="L167" i="2"/>
  <c r="M167" i="2" s="1"/>
  <c r="L168" i="2"/>
  <c r="L169" i="2"/>
  <c r="M169" i="2" s="1"/>
  <c r="L170" i="2"/>
  <c r="M170" i="2" s="1"/>
  <c r="L171" i="2"/>
  <c r="L172" i="2"/>
  <c r="M172" i="2" s="1"/>
  <c r="L173" i="2"/>
  <c r="M173" i="2" s="1"/>
  <c r="L174" i="2"/>
  <c r="L175" i="2"/>
  <c r="M175" i="2" s="1"/>
  <c r="L176" i="2"/>
  <c r="M176" i="2" s="1"/>
  <c r="K177" i="2"/>
  <c r="L177" i="2" s="1"/>
  <c r="K179" i="2"/>
  <c r="L179" i="2" s="1"/>
  <c r="M179" i="2" s="1"/>
  <c r="L181" i="2"/>
  <c r="L182" i="2"/>
  <c r="M182" i="2" s="1"/>
  <c r="L183" i="2"/>
  <c r="M183" i="2" s="1"/>
  <c r="L185" i="2"/>
  <c r="L186" i="2"/>
  <c r="M186" i="2" s="1"/>
  <c r="L187" i="2"/>
  <c r="M187" i="2" s="1"/>
  <c r="L188" i="2"/>
  <c r="M188" i="2" s="1"/>
  <c r="L189" i="2"/>
  <c r="L190" i="2"/>
  <c r="M190" i="2" s="1"/>
  <c r="L191" i="2"/>
  <c r="M191" i="2" s="1"/>
  <c r="L192" i="2"/>
  <c r="M192" i="2" s="1"/>
  <c r="L193" i="2"/>
  <c r="L194" i="2"/>
  <c r="M194" i="2" s="1"/>
  <c r="L195" i="2"/>
  <c r="M195" i="2" s="1"/>
  <c r="L196" i="2"/>
  <c r="M196" i="2" s="1"/>
  <c r="L197" i="2"/>
  <c r="L198" i="2"/>
  <c r="M198" i="2" s="1"/>
  <c r="L199" i="2"/>
  <c r="M199" i="2" s="1"/>
  <c r="L200" i="2"/>
  <c r="M200" i="2" s="1"/>
  <c r="L201" i="2"/>
  <c r="L202" i="2"/>
  <c r="M202" i="2" s="1"/>
  <c r="L203" i="2"/>
  <c r="M203" i="2" s="1"/>
  <c r="L204" i="2"/>
  <c r="M204" i="2" s="1"/>
  <c r="L205" i="2"/>
  <c r="L206" i="2"/>
  <c r="M206" i="2" s="1"/>
  <c r="L207" i="2"/>
  <c r="M207" i="2" s="1"/>
  <c r="L208" i="2"/>
  <c r="M208" i="2" s="1"/>
  <c r="L209" i="2"/>
  <c r="L210" i="2"/>
  <c r="M210" i="2" s="1"/>
  <c r="L211" i="2"/>
  <c r="M211" i="2" s="1"/>
  <c r="L212" i="2"/>
  <c r="M212" i="2" s="1"/>
  <c r="K214" i="2"/>
  <c r="L214" i="2" s="1"/>
  <c r="K216" i="2"/>
  <c r="L216" i="2" s="1"/>
  <c r="M216" i="2" s="1"/>
  <c r="L218" i="2"/>
  <c r="L219" i="2"/>
  <c r="M219" i="2" s="1"/>
  <c r="L220" i="2"/>
  <c r="M220" i="2" s="1"/>
  <c r="L222" i="2"/>
  <c r="L223" i="2"/>
  <c r="M223" i="2" s="1"/>
  <c r="L224" i="2"/>
  <c r="M224" i="2" s="1"/>
  <c r="L225" i="2"/>
  <c r="L226" i="2"/>
  <c r="M226" i="2" s="1"/>
  <c r="L227" i="2"/>
  <c r="M227" i="2" s="1"/>
  <c r="L228" i="2"/>
  <c r="L229" i="2"/>
  <c r="M229" i="2" s="1"/>
  <c r="L230" i="2"/>
  <c r="M230" i="2" s="1"/>
  <c r="L231" i="2"/>
  <c r="L232" i="2"/>
  <c r="M232" i="2" s="1"/>
  <c r="L233" i="2"/>
  <c r="M233" i="2" s="1"/>
  <c r="L234" i="2"/>
  <c r="L235" i="2"/>
  <c r="M235" i="2" s="1"/>
  <c r="L236" i="2"/>
  <c r="M236" i="2" s="1"/>
  <c r="K239" i="2"/>
  <c r="L239" i="2" s="1"/>
  <c r="M239" i="2" s="1"/>
  <c r="L241" i="2"/>
  <c r="L242" i="2"/>
  <c r="M242" i="2" s="1"/>
  <c r="L243" i="2"/>
  <c r="M243" i="2" s="1"/>
  <c r="L245" i="2"/>
  <c r="L246" i="2"/>
  <c r="M246" i="2" s="1"/>
  <c r="L247" i="2"/>
  <c r="M247" i="2" s="1"/>
  <c r="L249" i="2"/>
  <c r="L250" i="2"/>
  <c r="M250" i="2" s="1"/>
  <c r="L251" i="2"/>
  <c r="M251" i="2" s="1"/>
  <c r="L253" i="2"/>
  <c r="L254" i="2"/>
  <c r="M254" i="2" s="1"/>
  <c r="L255" i="2"/>
  <c r="M255" i="2" s="1"/>
  <c r="L257" i="2"/>
  <c r="L258" i="2"/>
  <c r="M258" i="2" s="1"/>
  <c r="L259" i="2"/>
  <c r="M259" i="2" s="1"/>
  <c r="L266" i="2"/>
  <c r="L267" i="2"/>
  <c r="M267" i="2" s="1"/>
  <c r="L268" i="2"/>
  <c r="M268" i="2" s="1"/>
  <c r="L271" i="2"/>
  <c r="M271" i="2" s="1"/>
  <c r="L272" i="2"/>
  <c r="M272" i="2" s="1"/>
  <c r="L274" i="2"/>
  <c r="L275" i="2"/>
  <c r="M275" i="2" s="1"/>
  <c r="L276" i="2"/>
  <c r="M276" i="2" s="1"/>
  <c r="K278" i="2"/>
  <c r="K279" i="2"/>
  <c r="L284" i="2"/>
  <c r="L285" i="2"/>
  <c r="M285" i="2" s="1"/>
  <c r="L286" i="2"/>
  <c r="M286" i="2" s="1"/>
  <c r="L292" i="2"/>
  <c r="L293" i="2"/>
  <c r="M293" i="2" s="1"/>
  <c r="L294" i="2"/>
  <c r="M294" i="2" s="1"/>
  <c r="K296" i="2"/>
  <c r="K297" i="2"/>
  <c r="M278" i="2" l="1"/>
  <c r="L145" i="2"/>
  <c r="N174" i="2"/>
  <c r="N162" i="2"/>
  <c r="N142" i="2"/>
  <c r="N72" i="2"/>
  <c r="N60" i="2"/>
  <c r="N130" i="2"/>
  <c r="N257" i="2"/>
  <c r="N249" i="2"/>
  <c r="K261" i="2"/>
  <c r="K299" i="2" s="1"/>
  <c r="N52" i="2"/>
  <c r="N292" i="2"/>
  <c r="N168" i="2"/>
  <c r="K152" i="2"/>
  <c r="L152" i="2" s="1"/>
  <c r="M152" i="2" s="1"/>
  <c r="N100" i="2"/>
  <c r="L261" i="2"/>
  <c r="L299" i="2" s="1"/>
  <c r="M214" i="2"/>
  <c r="M261" i="2" s="1"/>
  <c r="M299" i="2" s="1"/>
  <c r="K215" i="2"/>
  <c r="L215" i="2" s="1"/>
  <c r="M215" i="2" s="1"/>
  <c r="K213" i="2"/>
  <c r="L213" i="2" s="1"/>
  <c r="N171" i="2"/>
  <c r="N165" i="2"/>
  <c r="L110" i="2"/>
  <c r="M110" i="2" s="1"/>
  <c r="N109" i="2" s="1"/>
  <c r="N222" i="2"/>
  <c r="N45" i="2"/>
  <c r="N30" i="2"/>
  <c r="K238" i="2"/>
  <c r="L238" i="2" s="1"/>
  <c r="M238" i="2" s="1"/>
  <c r="N234" i="2"/>
  <c r="N228" i="2"/>
  <c r="N84" i="2"/>
  <c r="N245" i="2"/>
  <c r="N139" i="2"/>
  <c r="N133" i="2"/>
  <c r="N127" i="2"/>
  <c r="N121" i="2"/>
  <c r="M95" i="2"/>
  <c r="N75" i="2"/>
  <c r="N69" i="2"/>
  <c r="N63" i="2"/>
  <c r="N181" i="2"/>
  <c r="M279" i="2"/>
  <c r="M296" i="2"/>
  <c r="L297" i="2"/>
  <c r="L296" i="2"/>
  <c r="N266" i="2"/>
  <c r="N231" i="2"/>
  <c r="K178" i="2"/>
  <c r="K153" i="2"/>
  <c r="N193" i="2"/>
  <c r="N185" i="2"/>
  <c r="N155" i="2"/>
  <c r="N113" i="2"/>
  <c r="N225" i="2"/>
  <c r="N218" i="2"/>
  <c r="N209" i="2"/>
  <c r="N201" i="2"/>
  <c r="N148" i="2"/>
  <c r="N145" i="2"/>
  <c r="N106" i="2"/>
  <c r="N56" i="2"/>
  <c r="N48" i="2"/>
  <c r="N17" i="2"/>
  <c r="K295" i="2"/>
  <c r="N241" i="2"/>
  <c r="L279" i="2"/>
  <c r="N136" i="2"/>
  <c r="N124" i="2"/>
  <c r="N97" i="2"/>
  <c r="N90" i="2"/>
  <c r="N66" i="2"/>
  <c r="L295" i="2"/>
  <c r="N284" i="2"/>
  <c r="N159" i="2"/>
  <c r="N36" i="2"/>
  <c r="N24" i="2"/>
  <c r="N5" i="2"/>
  <c r="M297" i="2"/>
  <c r="N274" i="2"/>
  <c r="K277" i="2"/>
  <c r="N253" i="2"/>
  <c r="N205" i="2"/>
  <c r="N197" i="2"/>
  <c r="N189" i="2"/>
  <c r="N117" i="2"/>
  <c r="N81" i="2"/>
  <c r="N39" i="2"/>
  <c r="N27" i="2"/>
  <c r="M94" i="2"/>
  <c r="N87" i="2"/>
  <c r="N33" i="2"/>
  <c r="N21" i="2"/>
  <c r="L278" i="2"/>
  <c r="L270" i="2"/>
  <c r="K237" i="2"/>
  <c r="L237" i="2" s="1"/>
  <c r="K93" i="2"/>
  <c r="N237" i="2" l="1"/>
  <c r="N213" i="2"/>
  <c r="L153" i="2"/>
  <c r="K263" i="2"/>
  <c r="K301" i="2" s="1"/>
  <c r="L178" i="2"/>
  <c r="K262" i="2"/>
  <c r="K300" i="2" s="1"/>
  <c r="N270" i="2"/>
  <c r="L277" i="2"/>
  <c r="N277" i="2" s="1"/>
  <c r="N295" i="2"/>
  <c r="L93" i="2"/>
  <c r="K260" i="2"/>
  <c r="K298" i="2" s="1"/>
  <c r="K214" i="4"/>
  <c r="K213" i="4"/>
  <c r="K216" i="4"/>
  <c r="K215" i="4"/>
  <c r="G216" i="4"/>
  <c r="G215" i="4"/>
  <c r="G214" i="4"/>
  <c r="G213" i="4"/>
  <c r="C216" i="4"/>
  <c r="C215" i="4"/>
  <c r="C214" i="4"/>
  <c r="C213" i="4"/>
  <c r="O208" i="4"/>
  <c r="P208" i="4" s="1"/>
  <c r="Q208" i="4" s="1"/>
  <c r="L208" i="4"/>
  <c r="M208" i="4" s="1"/>
  <c r="H208" i="4"/>
  <c r="I208" i="4" s="1"/>
  <c r="D208" i="4"/>
  <c r="E208" i="4" s="1"/>
  <c r="O207" i="4"/>
  <c r="P207" i="4" s="1"/>
  <c r="Q207" i="4" s="1"/>
  <c r="L207" i="4"/>
  <c r="M207" i="4" s="1"/>
  <c r="H207" i="4"/>
  <c r="I207" i="4" s="1"/>
  <c r="D207" i="4"/>
  <c r="E207" i="4" s="1"/>
  <c r="O206" i="4"/>
  <c r="P206" i="4" s="1"/>
  <c r="Q206" i="4" s="1"/>
  <c r="L206" i="4"/>
  <c r="M206" i="4" s="1"/>
  <c r="H206" i="4"/>
  <c r="I206" i="4" s="1"/>
  <c r="D206" i="4"/>
  <c r="E206" i="4" s="1"/>
  <c r="O205" i="4"/>
  <c r="P205" i="4" s="1"/>
  <c r="L205" i="4"/>
  <c r="H205" i="4"/>
  <c r="D205" i="4"/>
  <c r="G216" i="2"/>
  <c r="G215" i="2"/>
  <c r="G214" i="2"/>
  <c r="C216" i="2"/>
  <c r="O208" i="2"/>
  <c r="P208" i="2" s="1"/>
  <c r="Q208" i="2" s="1"/>
  <c r="H208" i="2"/>
  <c r="I208" i="2" s="1"/>
  <c r="D208" i="2"/>
  <c r="E208" i="2" s="1"/>
  <c r="O207" i="2"/>
  <c r="P207" i="2" s="1"/>
  <c r="Q207" i="2" s="1"/>
  <c r="H207" i="2"/>
  <c r="I207" i="2" s="1"/>
  <c r="D207" i="2"/>
  <c r="E207" i="2" s="1"/>
  <c r="O206" i="2"/>
  <c r="P206" i="2" s="1"/>
  <c r="Q206" i="2" s="1"/>
  <c r="H206" i="2"/>
  <c r="I206" i="2" s="1"/>
  <c r="D206" i="2"/>
  <c r="E206" i="2" s="1"/>
  <c r="O205" i="2"/>
  <c r="P205" i="2" s="1"/>
  <c r="H205" i="2"/>
  <c r="D205" i="2"/>
  <c r="J205" i="4" l="1"/>
  <c r="O213" i="4"/>
  <c r="F205" i="4"/>
  <c r="M153" i="2"/>
  <c r="L263" i="2"/>
  <c r="L301" i="2" s="1"/>
  <c r="M178" i="2"/>
  <c r="L262" i="2"/>
  <c r="L300" i="2" s="1"/>
  <c r="N93" i="2"/>
  <c r="L260" i="2"/>
  <c r="F205" i="2"/>
  <c r="J205" i="2"/>
  <c r="R205" i="4"/>
  <c r="N205" i="4"/>
  <c r="R205" i="2"/>
  <c r="N177" i="2" l="1"/>
  <c r="M262" i="2"/>
  <c r="M300" i="2" s="1"/>
  <c r="M263" i="2"/>
  <c r="M301" i="2" s="1"/>
  <c r="N151" i="2"/>
  <c r="L298" i="2"/>
  <c r="N298" i="2" l="1"/>
  <c r="N260" i="2"/>
  <c r="H276" i="2" l="1"/>
  <c r="H5" i="2" l="1"/>
  <c r="D3" i="1" s="1"/>
  <c r="C214" i="2" l="1"/>
  <c r="D5" i="2"/>
  <c r="C3" i="1" s="1"/>
  <c r="O266" i="4"/>
  <c r="O52" i="4"/>
  <c r="D18" i="4"/>
  <c r="E18" i="4" s="1"/>
  <c r="D17" i="4"/>
  <c r="H17" i="4"/>
  <c r="H18" i="4"/>
  <c r="I18" i="4" s="1"/>
  <c r="D6" i="4"/>
  <c r="E6" i="4" s="1"/>
  <c r="D5" i="4"/>
  <c r="D185" i="2" l="1"/>
  <c r="C213" i="2"/>
  <c r="C215" i="2"/>
  <c r="D213" i="2" l="1"/>
  <c r="C33" i="1" s="1"/>
  <c r="O213" i="2"/>
  <c r="H50" i="4" l="1"/>
  <c r="I50" i="4" s="1"/>
  <c r="D50" i="4"/>
  <c r="E50" i="4" s="1"/>
  <c r="L49" i="4"/>
  <c r="M49" i="4" s="1"/>
  <c r="H49" i="4"/>
  <c r="I49" i="4" s="1"/>
  <c r="D49" i="4"/>
  <c r="E49" i="4" s="1"/>
  <c r="L48" i="4"/>
  <c r="H48" i="4"/>
  <c r="D48" i="4"/>
  <c r="O47" i="4"/>
  <c r="P47" i="4" s="1"/>
  <c r="Q47" i="4" s="1"/>
  <c r="L47" i="4"/>
  <c r="M47" i="4" s="1"/>
  <c r="H47" i="4"/>
  <c r="I47" i="4" s="1"/>
  <c r="D47" i="4"/>
  <c r="E47" i="4" s="1"/>
  <c r="O46" i="4"/>
  <c r="P46" i="4" s="1"/>
  <c r="Q46" i="4" s="1"/>
  <c r="L46" i="4"/>
  <c r="M46" i="4" s="1"/>
  <c r="H46" i="4"/>
  <c r="I46" i="4" s="1"/>
  <c r="D46" i="4"/>
  <c r="E46" i="4" s="1"/>
  <c r="O45" i="4"/>
  <c r="P45" i="4" s="1"/>
  <c r="L45" i="4"/>
  <c r="H45" i="4"/>
  <c r="D45" i="4"/>
  <c r="O41" i="4"/>
  <c r="P41" i="4" s="1"/>
  <c r="Q41" i="4" s="1"/>
  <c r="L41" i="4"/>
  <c r="M41" i="4" s="1"/>
  <c r="H41" i="4"/>
  <c r="I41" i="4" s="1"/>
  <c r="D41" i="4"/>
  <c r="E41" i="4" s="1"/>
  <c r="O40" i="4"/>
  <c r="P40" i="4" s="1"/>
  <c r="Q40" i="4" s="1"/>
  <c r="L40" i="4"/>
  <c r="M40" i="4" s="1"/>
  <c r="H40" i="4"/>
  <c r="I40" i="4" s="1"/>
  <c r="D40" i="4"/>
  <c r="E40" i="4" s="1"/>
  <c r="O39" i="4"/>
  <c r="P39" i="4" s="1"/>
  <c r="L39" i="4"/>
  <c r="H39" i="4"/>
  <c r="D39" i="4"/>
  <c r="O38" i="4"/>
  <c r="P38" i="4" s="1"/>
  <c r="Q38" i="4" s="1"/>
  <c r="L38" i="4"/>
  <c r="M38" i="4" s="1"/>
  <c r="H38" i="4"/>
  <c r="I38" i="4" s="1"/>
  <c r="D38" i="4"/>
  <c r="E38" i="4" s="1"/>
  <c r="O37" i="4"/>
  <c r="P37" i="4" s="1"/>
  <c r="Q37" i="4" s="1"/>
  <c r="L37" i="4"/>
  <c r="M37" i="4" s="1"/>
  <c r="H37" i="4"/>
  <c r="I37" i="4" s="1"/>
  <c r="D37" i="4"/>
  <c r="E37" i="4" s="1"/>
  <c r="O36" i="4"/>
  <c r="P36" i="4" s="1"/>
  <c r="L36" i="4"/>
  <c r="H36" i="4"/>
  <c r="J36" i="4" s="1"/>
  <c r="D36" i="4"/>
  <c r="O35" i="4"/>
  <c r="P35" i="4" s="1"/>
  <c r="Q35" i="4" s="1"/>
  <c r="L35" i="4"/>
  <c r="M35" i="4" s="1"/>
  <c r="H35" i="4"/>
  <c r="I35" i="4" s="1"/>
  <c r="D35" i="4"/>
  <c r="E35" i="4" s="1"/>
  <c r="O34" i="4"/>
  <c r="P34" i="4" s="1"/>
  <c r="Q34" i="4" s="1"/>
  <c r="L34" i="4"/>
  <c r="M34" i="4" s="1"/>
  <c r="H34" i="4"/>
  <c r="I34" i="4" s="1"/>
  <c r="D34" i="4"/>
  <c r="E34" i="4" s="1"/>
  <c r="O33" i="4"/>
  <c r="P33" i="4" s="1"/>
  <c r="L33" i="4"/>
  <c r="H33" i="4"/>
  <c r="D33" i="4"/>
  <c r="O32" i="4"/>
  <c r="P32" i="4" s="1"/>
  <c r="Q32" i="4" s="1"/>
  <c r="L32" i="4"/>
  <c r="M32" i="4" s="1"/>
  <c r="H32" i="4"/>
  <c r="I32" i="4" s="1"/>
  <c r="D32" i="4"/>
  <c r="E32" i="4" s="1"/>
  <c r="O31" i="4"/>
  <c r="P31" i="4" s="1"/>
  <c r="Q31" i="4" s="1"/>
  <c r="L31" i="4"/>
  <c r="M31" i="4" s="1"/>
  <c r="H31" i="4"/>
  <c r="I31" i="4" s="1"/>
  <c r="D31" i="4"/>
  <c r="E31" i="4" s="1"/>
  <c r="O30" i="4"/>
  <c r="P30" i="4" s="1"/>
  <c r="L30" i="4"/>
  <c r="H30" i="4"/>
  <c r="D30" i="4"/>
  <c r="O29" i="4"/>
  <c r="P29" i="4" s="1"/>
  <c r="Q29" i="4" s="1"/>
  <c r="L29" i="4"/>
  <c r="M29" i="4" s="1"/>
  <c r="H29" i="4"/>
  <c r="I29" i="4" s="1"/>
  <c r="D29" i="4"/>
  <c r="E29" i="4" s="1"/>
  <c r="O28" i="4"/>
  <c r="P28" i="4" s="1"/>
  <c r="Q28" i="4" s="1"/>
  <c r="L28" i="4"/>
  <c r="M28" i="4" s="1"/>
  <c r="H28" i="4"/>
  <c r="I28" i="4" s="1"/>
  <c r="D28" i="4"/>
  <c r="E28" i="4" s="1"/>
  <c r="O27" i="4"/>
  <c r="P27" i="4" s="1"/>
  <c r="L27" i="4"/>
  <c r="H27" i="4"/>
  <c r="D27" i="4"/>
  <c r="O26" i="4"/>
  <c r="P26" i="4" s="1"/>
  <c r="Q26" i="4" s="1"/>
  <c r="L26" i="4"/>
  <c r="M26" i="4" s="1"/>
  <c r="H26" i="4"/>
  <c r="I26" i="4" s="1"/>
  <c r="D26" i="4"/>
  <c r="E26" i="4" s="1"/>
  <c r="O25" i="4"/>
  <c r="P25" i="4" s="1"/>
  <c r="Q25" i="4" s="1"/>
  <c r="L25" i="4"/>
  <c r="M25" i="4" s="1"/>
  <c r="H25" i="4"/>
  <c r="I25" i="4" s="1"/>
  <c r="D25" i="4"/>
  <c r="E25" i="4" s="1"/>
  <c r="O24" i="4"/>
  <c r="P24" i="4" s="1"/>
  <c r="L24" i="4"/>
  <c r="H24" i="4"/>
  <c r="D24" i="4"/>
  <c r="O23" i="4"/>
  <c r="P23" i="4" s="1"/>
  <c r="Q23" i="4" s="1"/>
  <c r="L23" i="4"/>
  <c r="M23" i="4" s="1"/>
  <c r="H23" i="4"/>
  <c r="I23" i="4" s="1"/>
  <c r="D23" i="4"/>
  <c r="E23" i="4" s="1"/>
  <c r="O22" i="4"/>
  <c r="P22" i="4" s="1"/>
  <c r="Q22" i="4" s="1"/>
  <c r="L22" i="4"/>
  <c r="M22" i="4" s="1"/>
  <c r="H22" i="4"/>
  <c r="I22" i="4" s="1"/>
  <c r="D22" i="4"/>
  <c r="E22" i="4" s="1"/>
  <c r="L21" i="4"/>
  <c r="O21" i="4"/>
  <c r="P21" i="4" s="1"/>
  <c r="D21" i="4"/>
  <c r="H21" i="2"/>
  <c r="D21" i="2"/>
  <c r="O41" i="2"/>
  <c r="P41" i="2" s="1"/>
  <c r="Q41" i="2" s="1"/>
  <c r="H41" i="2"/>
  <c r="I41" i="2" s="1"/>
  <c r="D41" i="2"/>
  <c r="E41" i="2" s="1"/>
  <c r="O40" i="2"/>
  <c r="P40" i="2" s="1"/>
  <c r="Q40" i="2" s="1"/>
  <c r="H40" i="2"/>
  <c r="I40" i="2" s="1"/>
  <c r="D40" i="2"/>
  <c r="E40" i="2" s="1"/>
  <c r="O39" i="2"/>
  <c r="P39" i="2" s="1"/>
  <c r="H39" i="2"/>
  <c r="D39" i="2"/>
  <c r="O47" i="2"/>
  <c r="P47" i="2" s="1"/>
  <c r="Q47" i="2" s="1"/>
  <c r="H47" i="2"/>
  <c r="I47" i="2" s="1"/>
  <c r="D47" i="2"/>
  <c r="E47" i="2" s="1"/>
  <c r="O46" i="2"/>
  <c r="P46" i="2" s="1"/>
  <c r="Q46" i="2" s="1"/>
  <c r="H46" i="2"/>
  <c r="I46" i="2" s="1"/>
  <c r="D46" i="2"/>
  <c r="E46" i="2" s="1"/>
  <c r="O45" i="2"/>
  <c r="P45" i="2" s="1"/>
  <c r="H45" i="2"/>
  <c r="D45" i="2"/>
  <c r="O38" i="2"/>
  <c r="P38" i="2" s="1"/>
  <c r="Q38" i="2" s="1"/>
  <c r="H38" i="2"/>
  <c r="I38" i="2" s="1"/>
  <c r="D38" i="2"/>
  <c r="E38" i="2" s="1"/>
  <c r="O37" i="2"/>
  <c r="P37" i="2" s="1"/>
  <c r="Q37" i="2" s="1"/>
  <c r="H37" i="2"/>
  <c r="I37" i="2" s="1"/>
  <c r="D37" i="2"/>
  <c r="E37" i="2" s="1"/>
  <c r="O36" i="2"/>
  <c r="P36" i="2" s="1"/>
  <c r="H36" i="2"/>
  <c r="D36" i="2"/>
  <c r="O35" i="2"/>
  <c r="P35" i="2" s="1"/>
  <c r="Q35" i="2" s="1"/>
  <c r="H35" i="2"/>
  <c r="I35" i="2" s="1"/>
  <c r="D35" i="2"/>
  <c r="E35" i="2" s="1"/>
  <c r="O34" i="2"/>
  <c r="P34" i="2" s="1"/>
  <c r="Q34" i="2" s="1"/>
  <c r="H34" i="2"/>
  <c r="I34" i="2" s="1"/>
  <c r="D34" i="2"/>
  <c r="E34" i="2" s="1"/>
  <c r="O33" i="2"/>
  <c r="P33" i="2" s="1"/>
  <c r="H33" i="2"/>
  <c r="D33" i="2"/>
  <c r="O32" i="2"/>
  <c r="P32" i="2" s="1"/>
  <c r="Q32" i="2" s="1"/>
  <c r="H32" i="2"/>
  <c r="I32" i="2" s="1"/>
  <c r="D32" i="2"/>
  <c r="E32" i="2" s="1"/>
  <c r="O31" i="2"/>
  <c r="P31" i="2" s="1"/>
  <c r="Q31" i="2" s="1"/>
  <c r="H31" i="2"/>
  <c r="I31" i="2" s="1"/>
  <c r="D31" i="2"/>
  <c r="E31" i="2" s="1"/>
  <c r="O30" i="2"/>
  <c r="P30" i="2" s="1"/>
  <c r="H30" i="2"/>
  <c r="D30" i="2"/>
  <c r="O29" i="2"/>
  <c r="P29" i="2" s="1"/>
  <c r="Q29" i="2" s="1"/>
  <c r="H29" i="2"/>
  <c r="I29" i="2" s="1"/>
  <c r="D29" i="2"/>
  <c r="E29" i="2" s="1"/>
  <c r="O28" i="2"/>
  <c r="P28" i="2" s="1"/>
  <c r="Q28" i="2" s="1"/>
  <c r="H28" i="2"/>
  <c r="I28" i="2" s="1"/>
  <c r="D28" i="2"/>
  <c r="E28" i="2" s="1"/>
  <c r="O27" i="2"/>
  <c r="P27" i="2" s="1"/>
  <c r="H27" i="2"/>
  <c r="D27" i="2"/>
  <c r="O26" i="2"/>
  <c r="P26" i="2" s="1"/>
  <c r="Q26" i="2" s="1"/>
  <c r="H26" i="2"/>
  <c r="I26" i="2" s="1"/>
  <c r="D26" i="2"/>
  <c r="E26" i="2" s="1"/>
  <c r="O25" i="2"/>
  <c r="P25" i="2" s="1"/>
  <c r="Q25" i="2" s="1"/>
  <c r="H25" i="2"/>
  <c r="I25" i="2" s="1"/>
  <c r="D25" i="2"/>
  <c r="E25" i="2" s="1"/>
  <c r="O24" i="2"/>
  <c r="P24" i="2" s="1"/>
  <c r="H24" i="2"/>
  <c r="D24" i="2"/>
  <c r="O23" i="2"/>
  <c r="P23" i="2" s="1"/>
  <c r="Q23" i="2" s="1"/>
  <c r="H23" i="2"/>
  <c r="I23" i="2" s="1"/>
  <c r="D23" i="2"/>
  <c r="E23" i="2" s="1"/>
  <c r="O22" i="2"/>
  <c r="P22" i="2" s="1"/>
  <c r="Q22" i="2" s="1"/>
  <c r="H22" i="2"/>
  <c r="I22" i="2" s="1"/>
  <c r="D22" i="2"/>
  <c r="E22" i="2" s="1"/>
  <c r="R27" i="4" l="1"/>
  <c r="J33" i="4"/>
  <c r="J39" i="4"/>
  <c r="R45" i="4"/>
  <c r="N24" i="4"/>
  <c r="J24" i="4"/>
  <c r="F30" i="4"/>
  <c r="N33" i="4"/>
  <c r="F36" i="4"/>
  <c r="N39" i="4"/>
  <c r="F45" i="4"/>
  <c r="F27" i="4"/>
  <c r="J30" i="4"/>
  <c r="R33" i="4"/>
  <c r="O49" i="4"/>
  <c r="P49" i="4" s="1"/>
  <c r="Q49" i="4" s="1"/>
  <c r="O50" i="4"/>
  <c r="P50" i="4" s="1"/>
  <c r="Q50" i="4" s="1"/>
  <c r="F39" i="4"/>
  <c r="R39" i="2"/>
  <c r="O21" i="2"/>
  <c r="P21" i="2" s="1"/>
  <c r="R21" i="2" s="1"/>
  <c r="F39" i="2"/>
  <c r="F33" i="4"/>
  <c r="P48" i="4"/>
  <c r="F11" i="3" s="1"/>
  <c r="F48" i="4"/>
  <c r="J48" i="4"/>
  <c r="L50" i="4"/>
  <c r="M50" i="4" s="1"/>
  <c r="N48" i="4" s="1"/>
  <c r="F21" i="4"/>
  <c r="R24" i="4"/>
  <c r="N30" i="4"/>
  <c r="N36" i="4"/>
  <c r="R39" i="4"/>
  <c r="J45" i="4"/>
  <c r="R21" i="4"/>
  <c r="N21" i="4"/>
  <c r="F24" i="4"/>
  <c r="N27" i="4"/>
  <c r="J27" i="4"/>
  <c r="R30" i="4"/>
  <c r="R36" i="4"/>
  <c r="N45" i="4"/>
  <c r="H21" i="4"/>
  <c r="J21" i="4" s="1"/>
  <c r="J39" i="2"/>
  <c r="F33" i="2"/>
  <c r="J24" i="2"/>
  <c r="F21" i="2"/>
  <c r="R45" i="2"/>
  <c r="R33" i="2"/>
  <c r="R36" i="2"/>
  <c r="J21" i="2"/>
  <c r="J45" i="2"/>
  <c r="J36" i="2"/>
  <c r="F24" i="2"/>
  <c r="F45" i="2"/>
  <c r="F36" i="2"/>
  <c r="J33" i="2"/>
  <c r="R30" i="2"/>
  <c r="F30" i="2"/>
  <c r="F27" i="2"/>
  <c r="J27" i="2"/>
  <c r="R27" i="2"/>
  <c r="J30" i="2"/>
  <c r="R24" i="2"/>
  <c r="F12" i="3" l="1"/>
  <c r="R48" i="4"/>
  <c r="K293" i="4" l="1"/>
  <c r="G293" i="4"/>
  <c r="C293" i="4"/>
  <c r="K292" i="4"/>
  <c r="G292" i="4"/>
  <c r="C292" i="4"/>
  <c r="G291" i="4"/>
  <c r="C58" i="3"/>
  <c r="F57" i="3"/>
  <c r="D57" i="3"/>
  <c r="C57" i="3"/>
  <c r="O286" i="4"/>
  <c r="P286" i="4" s="1"/>
  <c r="L286" i="4"/>
  <c r="L293" i="4" s="1"/>
  <c r="H286" i="4"/>
  <c r="I286" i="4" s="1"/>
  <c r="I293" i="4" s="1"/>
  <c r="D286" i="4"/>
  <c r="E286" i="4" s="1"/>
  <c r="O285" i="4"/>
  <c r="P285" i="4" s="1"/>
  <c r="L285" i="4"/>
  <c r="L292" i="4" s="1"/>
  <c r="H285" i="4"/>
  <c r="I285" i="4" s="1"/>
  <c r="D56" i="3" s="1"/>
  <c r="D285" i="4"/>
  <c r="E285" i="4" s="1"/>
  <c r="K291" i="4"/>
  <c r="H284" i="4"/>
  <c r="D284" i="4"/>
  <c r="C55" i="3" s="1"/>
  <c r="C291" i="4"/>
  <c r="K279" i="4"/>
  <c r="G279" i="4"/>
  <c r="C279" i="4"/>
  <c r="K278" i="4"/>
  <c r="G278" i="4"/>
  <c r="C278" i="4"/>
  <c r="K277" i="4"/>
  <c r="G277" i="4"/>
  <c r="O276" i="4"/>
  <c r="P276" i="4" s="1"/>
  <c r="Q276" i="4" s="1"/>
  <c r="L276" i="4"/>
  <c r="M276" i="4" s="1"/>
  <c r="H276" i="4"/>
  <c r="I276" i="4" s="1"/>
  <c r="D276" i="4"/>
  <c r="E276" i="4" s="1"/>
  <c r="O275" i="4"/>
  <c r="P275" i="4" s="1"/>
  <c r="Q275" i="4" s="1"/>
  <c r="F54" i="3" s="1"/>
  <c r="L275" i="4"/>
  <c r="M275" i="4" s="1"/>
  <c r="H275" i="4"/>
  <c r="I275" i="4" s="1"/>
  <c r="D54" i="3" s="1"/>
  <c r="D275" i="4"/>
  <c r="E275" i="4" s="1"/>
  <c r="C54" i="3" s="1"/>
  <c r="L274" i="4"/>
  <c r="E53" i="3" s="1"/>
  <c r="H274" i="4"/>
  <c r="D274" i="4"/>
  <c r="C53" i="3" s="1"/>
  <c r="O274" i="4"/>
  <c r="P274" i="4" s="1"/>
  <c r="F53" i="3" s="1"/>
  <c r="O272" i="4"/>
  <c r="P272" i="4" s="1"/>
  <c r="Q272" i="4" s="1"/>
  <c r="L272" i="4"/>
  <c r="M272" i="4" s="1"/>
  <c r="H272" i="4"/>
  <c r="I272" i="4" s="1"/>
  <c r="D272" i="4"/>
  <c r="E272" i="4" s="1"/>
  <c r="O271" i="4"/>
  <c r="P271" i="4" s="1"/>
  <c r="Q271" i="4" s="1"/>
  <c r="F52" i="3" s="1"/>
  <c r="L271" i="4"/>
  <c r="M271" i="4" s="1"/>
  <c r="H271" i="4"/>
  <c r="I271" i="4" s="1"/>
  <c r="D52" i="3" s="1"/>
  <c r="D271" i="4"/>
  <c r="E271" i="4" s="1"/>
  <c r="C52" i="3" s="1"/>
  <c r="L270" i="4"/>
  <c r="E51" i="3" s="1"/>
  <c r="H270" i="4"/>
  <c r="D270" i="4"/>
  <c r="C51" i="3" s="1"/>
  <c r="O270" i="4"/>
  <c r="P270" i="4" s="1"/>
  <c r="F51" i="3" s="1"/>
  <c r="O268" i="4"/>
  <c r="P268" i="4" s="1"/>
  <c r="L268" i="4"/>
  <c r="H268" i="4"/>
  <c r="I268" i="4" s="1"/>
  <c r="D268" i="4"/>
  <c r="E268" i="4" s="1"/>
  <c r="O267" i="4"/>
  <c r="L267" i="4"/>
  <c r="H267" i="4"/>
  <c r="H278" i="4" s="1"/>
  <c r="D267" i="4"/>
  <c r="E267" i="4" s="1"/>
  <c r="E278" i="4" s="1"/>
  <c r="L266" i="4"/>
  <c r="E49" i="3" s="1"/>
  <c r="H266" i="4"/>
  <c r="D266" i="4"/>
  <c r="C49" i="3" s="1"/>
  <c r="Q260" i="4"/>
  <c r="O259" i="4"/>
  <c r="P259" i="4" s="1"/>
  <c r="Q259" i="4" s="1"/>
  <c r="L259" i="4"/>
  <c r="M259" i="4" s="1"/>
  <c r="H259" i="4"/>
  <c r="I259" i="4" s="1"/>
  <c r="D259" i="4"/>
  <c r="E259" i="4" s="1"/>
  <c r="L258" i="4"/>
  <c r="M258" i="4" s="1"/>
  <c r="O258" i="4"/>
  <c r="P258" i="4" s="1"/>
  <c r="Q258" i="4" s="1"/>
  <c r="H258" i="4"/>
  <c r="I258" i="4" s="1"/>
  <c r="D258" i="4"/>
  <c r="E258" i="4" s="1"/>
  <c r="C48" i="3" s="1"/>
  <c r="O257" i="4"/>
  <c r="P257" i="4" s="1"/>
  <c r="F47" i="3" s="1"/>
  <c r="L257" i="4"/>
  <c r="E47" i="3" s="1"/>
  <c r="H257" i="4"/>
  <c r="D47" i="3" s="1"/>
  <c r="D257" i="4"/>
  <c r="C47" i="3" s="1"/>
  <c r="O255" i="4"/>
  <c r="P255" i="4" s="1"/>
  <c r="Q255" i="4" s="1"/>
  <c r="L255" i="4"/>
  <c r="M255" i="4" s="1"/>
  <c r="H255" i="4"/>
  <c r="I255" i="4" s="1"/>
  <c r="D255" i="4"/>
  <c r="E255" i="4" s="1"/>
  <c r="O254" i="4"/>
  <c r="P254" i="4" s="1"/>
  <c r="Q254" i="4" s="1"/>
  <c r="F46" i="3" s="1"/>
  <c r="L254" i="4"/>
  <c r="M254" i="4" s="1"/>
  <c r="H254" i="4"/>
  <c r="I254" i="4" s="1"/>
  <c r="D254" i="4"/>
  <c r="E254" i="4" s="1"/>
  <c r="C46" i="3" s="1"/>
  <c r="O253" i="4"/>
  <c r="P253" i="4" s="1"/>
  <c r="F45" i="3" s="1"/>
  <c r="L253" i="4"/>
  <c r="H253" i="4"/>
  <c r="D253" i="4"/>
  <c r="C45" i="3" s="1"/>
  <c r="O251" i="4"/>
  <c r="P251" i="4" s="1"/>
  <c r="Q251" i="4" s="1"/>
  <c r="L251" i="4"/>
  <c r="M251" i="4" s="1"/>
  <c r="H251" i="4"/>
  <c r="I251" i="4" s="1"/>
  <c r="D251" i="4"/>
  <c r="E251" i="4" s="1"/>
  <c r="L250" i="4"/>
  <c r="M250" i="4" s="1"/>
  <c r="H250" i="4"/>
  <c r="I250" i="4" s="1"/>
  <c r="D250" i="4"/>
  <c r="E250" i="4" s="1"/>
  <c r="O250" i="4"/>
  <c r="P250" i="4" s="1"/>
  <c r="Q250" i="4" s="1"/>
  <c r="O249" i="4"/>
  <c r="P249" i="4" s="1"/>
  <c r="F43" i="3" s="1"/>
  <c r="L249" i="4"/>
  <c r="H249" i="4"/>
  <c r="D43" i="3" s="1"/>
  <c r="D249" i="4"/>
  <c r="O247" i="4"/>
  <c r="P247" i="4" s="1"/>
  <c r="Q247" i="4" s="1"/>
  <c r="L247" i="4"/>
  <c r="M247" i="4" s="1"/>
  <c r="H247" i="4"/>
  <c r="I247" i="4" s="1"/>
  <c r="D247" i="4"/>
  <c r="E247" i="4" s="1"/>
  <c r="L246" i="4"/>
  <c r="M246" i="4" s="1"/>
  <c r="O246" i="4"/>
  <c r="P246" i="4" s="1"/>
  <c r="Q246" i="4" s="1"/>
  <c r="H246" i="4"/>
  <c r="I246" i="4" s="1"/>
  <c r="D246" i="4"/>
  <c r="E246" i="4" s="1"/>
  <c r="O245" i="4"/>
  <c r="P245" i="4" s="1"/>
  <c r="F41" i="3" s="1"/>
  <c r="L245" i="4"/>
  <c r="H245" i="4"/>
  <c r="D41" i="3" s="1"/>
  <c r="D245" i="4"/>
  <c r="C41" i="3" s="1"/>
  <c r="O243" i="4"/>
  <c r="P243" i="4" s="1"/>
  <c r="Q243" i="4" s="1"/>
  <c r="L243" i="4"/>
  <c r="M243" i="4" s="1"/>
  <c r="H243" i="4"/>
  <c r="I243" i="4" s="1"/>
  <c r="D243" i="4"/>
  <c r="E243" i="4" s="1"/>
  <c r="O242" i="4"/>
  <c r="P242" i="4" s="1"/>
  <c r="Q242" i="4" s="1"/>
  <c r="F40" i="3" s="1"/>
  <c r="L242" i="4"/>
  <c r="M242" i="4" s="1"/>
  <c r="E40" i="3" s="1"/>
  <c r="H242" i="4"/>
  <c r="I242" i="4" s="1"/>
  <c r="D40" i="3" s="1"/>
  <c r="D242" i="4"/>
  <c r="E242" i="4" s="1"/>
  <c r="O241" i="4"/>
  <c r="P241" i="4" s="1"/>
  <c r="F39" i="3" s="1"/>
  <c r="L241" i="4"/>
  <c r="H241" i="4"/>
  <c r="D39" i="3" s="1"/>
  <c r="D241" i="4"/>
  <c r="C39" i="3" s="1"/>
  <c r="K239" i="4"/>
  <c r="L239" i="4" s="1"/>
  <c r="M239" i="4" s="1"/>
  <c r="G239" i="4"/>
  <c r="H239" i="4" s="1"/>
  <c r="I239" i="4" s="1"/>
  <c r="C239" i="4"/>
  <c r="D239" i="4" s="1"/>
  <c r="E239" i="4" s="1"/>
  <c r="G238" i="4"/>
  <c r="H238" i="4" s="1"/>
  <c r="I238" i="4" s="1"/>
  <c r="K237" i="4"/>
  <c r="L237" i="4" s="1"/>
  <c r="E37" i="3" s="1"/>
  <c r="G237" i="4"/>
  <c r="H237" i="4" s="1"/>
  <c r="O236" i="4"/>
  <c r="P236" i="4" s="1"/>
  <c r="Q236" i="4" s="1"/>
  <c r="L236" i="4"/>
  <c r="M236" i="4" s="1"/>
  <c r="H236" i="4"/>
  <c r="I236" i="4" s="1"/>
  <c r="D236" i="4"/>
  <c r="E236" i="4" s="1"/>
  <c r="O235" i="4"/>
  <c r="P235" i="4" s="1"/>
  <c r="Q235" i="4" s="1"/>
  <c r="L235" i="4"/>
  <c r="M235" i="4" s="1"/>
  <c r="H235" i="4"/>
  <c r="I235" i="4" s="1"/>
  <c r="D235" i="4"/>
  <c r="E235" i="4" s="1"/>
  <c r="O234" i="4"/>
  <c r="P234" i="4" s="1"/>
  <c r="L234" i="4"/>
  <c r="H234" i="4"/>
  <c r="J234" i="4" s="1"/>
  <c r="D234" i="4"/>
  <c r="O233" i="4"/>
  <c r="P233" i="4" s="1"/>
  <c r="Q233" i="4" s="1"/>
  <c r="L233" i="4"/>
  <c r="M233" i="4" s="1"/>
  <c r="H233" i="4"/>
  <c r="I233" i="4" s="1"/>
  <c r="D233" i="4"/>
  <c r="E233" i="4" s="1"/>
  <c r="O232" i="4"/>
  <c r="P232" i="4" s="1"/>
  <c r="Q232" i="4" s="1"/>
  <c r="L232" i="4"/>
  <c r="M232" i="4" s="1"/>
  <c r="H232" i="4"/>
  <c r="I232" i="4" s="1"/>
  <c r="D232" i="4"/>
  <c r="E232" i="4" s="1"/>
  <c r="O231" i="4"/>
  <c r="P231" i="4" s="1"/>
  <c r="L231" i="4"/>
  <c r="H231" i="4"/>
  <c r="D231" i="4"/>
  <c r="O230" i="4"/>
  <c r="P230" i="4" s="1"/>
  <c r="Q230" i="4" s="1"/>
  <c r="L230" i="4"/>
  <c r="M230" i="4" s="1"/>
  <c r="H230" i="4"/>
  <c r="I230" i="4" s="1"/>
  <c r="D230" i="4"/>
  <c r="E230" i="4" s="1"/>
  <c r="O229" i="4"/>
  <c r="P229" i="4" s="1"/>
  <c r="Q229" i="4" s="1"/>
  <c r="L229" i="4"/>
  <c r="M229" i="4" s="1"/>
  <c r="H229" i="4"/>
  <c r="I229" i="4" s="1"/>
  <c r="D229" i="4"/>
  <c r="E229" i="4" s="1"/>
  <c r="O228" i="4"/>
  <c r="P228" i="4" s="1"/>
  <c r="L228" i="4"/>
  <c r="H228" i="4"/>
  <c r="D228" i="4"/>
  <c r="O227" i="4"/>
  <c r="P227" i="4" s="1"/>
  <c r="Q227" i="4" s="1"/>
  <c r="L227" i="4"/>
  <c r="M227" i="4" s="1"/>
  <c r="H227" i="4"/>
  <c r="I227" i="4" s="1"/>
  <c r="D227" i="4"/>
  <c r="E227" i="4" s="1"/>
  <c r="K238" i="4"/>
  <c r="H226" i="4"/>
  <c r="I226" i="4" s="1"/>
  <c r="D226" i="4"/>
  <c r="E226" i="4" s="1"/>
  <c r="C238" i="4"/>
  <c r="D238" i="4" s="1"/>
  <c r="E238" i="4" s="1"/>
  <c r="L225" i="4"/>
  <c r="H225" i="4"/>
  <c r="O224" i="4"/>
  <c r="P224" i="4" s="1"/>
  <c r="Q224" i="4" s="1"/>
  <c r="L224" i="4"/>
  <c r="M224" i="4" s="1"/>
  <c r="H224" i="4"/>
  <c r="I224" i="4" s="1"/>
  <c r="D224" i="4"/>
  <c r="E224" i="4" s="1"/>
  <c r="O223" i="4"/>
  <c r="P223" i="4" s="1"/>
  <c r="Q223" i="4" s="1"/>
  <c r="L223" i="4"/>
  <c r="M223" i="4" s="1"/>
  <c r="H223" i="4"/>
  <c r="I223" i="4" s="1"/>
  <c r="D223" i="4"/>
  <c r="E223" i="4" s="1"/>
  <c r="O222" i="4"/>
  <c r="P222" i="4" s="1"/>
  <c r="L222" i="4"/>
  <c r="H222" i="4"/>
  <c r="D222" i="4"/>
  <c r="O220" i="4"/>
  <c r="P220" i="4" s="1"/>
  <c r="Q220" i="4" s="1"/>
  <c r="L220" i="4"/>
  <c r="M220" i="4" s="1"/>
  <c r="H220" i="4"/>
  <c r="I220" i="4" s="1"/>
  <c r="D220" i="4"/>
  <c r="E220" i="4" s="1"/>
  <c r="O219" i="4"/>
  <c r="P219" i="4" s="1"/>
  <c r="Q219" i="4" s="1"/>
  <c r="F36" i="3" s="1"/>
  <c r="L219" i="4"/>
  <c r="M219" i="4" s="1"/>
  <c r="E36" i="3" s="1"/>
  <c r="H219" i="4"/>
  <c r="I219" i="4" s="1"/>
  <c r="D36" i="3" s="1"/>
  <c r="D219" i="4"/>
  <c r="E219" i="4" s="1"/>
  <c r="O218" i="4"/>
  <c r="P218" i="4" s="1"/>
  <c r="F35" i="3" s="1"/>
  <c r="L218" i="4"/>
  <c r="E35" i="3" s="1"/>
  <c r="H218" i="4"/>
  <c r="D35" i="3" s="1"/>
  <c r="D218" i="4"/>
  <c r="C35" i="3" s="1"/>
  <c r="L216" i="4"/>
  <c r="M216" i="4" s="1"/>
  <c r="H216" i="4"/>
  <c r="I216" i="4" s="1"/>
  <c r="D216" i="4"/>
  <c r="E216" i="4" s="1"/>
  <c r="L215" i="4"/>
  <c r="M215" i="4" s="1"/>
  <c r="H215" i="4"/>
  <c r="I215" i="4" s="1"/>
  <c r="D215" i="4"/>
  <c r="E215" i="4" s="1"/>
  <c r="O214" i="4"/>
  <c r="O261" i="4" s="1"/>
  <c r="O295" i="4" s="1"/>
  <c r="H214" i="4"/>
  <c r="H261" i="4" s="1"/>
  <c r="H295" i="4" s="1"/>
  <c r="G261" i="4"/>
  <c r="G295" i="4" s="1"/>
  <c r="D214" i="4"/>
  <c r="D261" i="4" s="1"/>
  <c r="D295" i="4" s="1"/>
  <c r="C261" i="4"/>
  <c r="C295" i="4" s="1"/>
  <c r="L213" i="4"/>
  <c r="E33" i="3" s="1"/>
  <c r="P213" i="4"/>
  <c r="F33" i="3" s="1"/>
  <c r="D213" i="4"/>
  <c r="O212" i="4"/>
  <c r="P212" i="4" s="1"/>
  <c r="Q212" i="4" s="1"/>
  <c r="L212" i="4"/>
  <c r="M212" i="4" s="1"/>
  <c r="H212" i="4"/>
  <c r="I212" i="4" s="1"/>
  <c r="D212" i="4"/>
  <c r="E212" i="4" s="1"/>
  <c r="O211" i="4"/>
  <c r="P211" i="4" s="1"/>
  <c r="Q211" i="4" s="1"/>
  <c r="L211" i="4"/>
  <c r="M211" i="4" s="1"/>
  <c r="H211" i="4"/>
  <c r="I211" i="4" s="1"/>
  <c r="D211" i="4"/>
  <c r="E211" i="4" s="1"/>
  <c r="O210" i="4"/>
  <c r="P210" i="4" s="1"/>
  <c r="Q210" i="4" s="1"/>
  <c r="L210" i="4"/>
  <c r="M210" i="4" s="1"/>
  <c r="H210" i="4"/>
  <c r="I210" i="4" s="1"/>
  <c r="D210" i="4"/>
  <c r="E210" i="4" s="1"/>
  <c r="O209" i="4"/>
  <c r="P209" i="4" s="1"/>
  <c r="L209" i="4"/>
  <c r="H209" i="4"/>
  <c r="D209" i="4"/>
  <c r="O204" i="4"/>
  <c r="P204" i="4" s="1"/>
  <c r="Q204" i="4" s="1"/>
  <c r="L204" i="4"/>
  <c r="M204" i="4" s="1"/>
  <c r="H204" i="4"/>
  <c r="I204" i="4" s="1"/>
  <c r="D204" i="4"/>
  <c r="E204" i="4" s="1"/>
  <c r="O203" i="4"/>
  <c r="P203" i="4" s="1"/>
  <c r="Q203" i="4" s="1"/>
  <c r="L203" i="4"/>
  <c r="M203" i="4" s="1"/>
  <c r="H203" i="4"/>
  <c r="I203" i="4" s="1"/>
  <c r="D203" i="4"/>
  <c r="E203" i="4" s="1"/>
  <c r="O202" i="4"/>
  <c r="P202" i="4" s="1"/>
  <c r="Q202" i="4" s="1"/>
  <c r="L202" i="4"/>
  <c r="M202" i="4" s="1"/>
  <c r="H202" i="4"/>
  <c r="I202" i="4" s="1"/>
  <c r="D202" i="4"/>
  <c r="E202" i="4" s="1"/>
  <c r="O201" i="4"/>
  <c r="P201" i="4" s="1"/>
  <c r="L201" i="4"/>
  <c r="H201" i="4"/>
  <c r="D201" i="4"/>
  <c r="O200" i="4"/>
  <c r="P200" i="4" s="1"/>
  <c r="Q200" i="4" s="1"/>
  <c r="L200" i="4"/>
  <c r="M200" i="4" s="1"/>
  <c r="H200" i="4"/>
  <c r="I200" i="4" s="1"/>
  <c r="D200" i="4"/>
  <c r="E200" i="4" s="1"/>
  <c r="O199" i="4"/>
  <c r="P199" i="4" s="1"/>
  <c r="Q199" i="4" s="1"/>
  <c r="L199" i="4"/>
  <c r="M199" i="4" s="1"/>
  <c r="H199" i="4"/>
  <c r="I199" i="4" s="1"/>
  <c r="D199" i="4"/>
  <c r="E199" i="4" s="1"/>
  <c r="O198" i="4"/>
  <c r="P198" i="4" s="1"/>
  <c r="Q198" i="4" s="1"/>
  <c r="L198" i="4"/>
  <c r="M198" i="4" s="1"/>
  <c r="H198" i="4"/>
  <c r="I198" i="4" s="1"/>
  <c r="D198" i="4"/>
  <c r="E198" i="4" s="1"/>
  <c r="O197" i="4"/>
  <c r="P197" i="4" s="1"/>
  <c r="L197" i="4"/>
  <c r="H197" i="4"/>
  <c r="D197" i="4"/>
  <c r="O196" i="4"/>
  <c r="P196" i="4" s="1"/>
  <c r="Q196" i="4" s="1"/>
  <c r="L196" i="4"/>
  <c r="M196" i="4" s="1"/>
  <c r="H196" i="4"/>
  <c r="I196" i="4" s="1"/>
  <c r="D196" i="4"/>
  <c r="E196" i="4" s="1"/>
  <c r="O195" i="4"/>
  <c r="P195" i="4" s="1"/>
  <c r="Q195" i="4" s="1"/>
  <c r="L195" i="4"/>
  <c r="M195" i="4" s="1"/>
  <c r="H195" i="4"/>
  <c r="I195" i="4" s="1"/>
  <c r="D195" i="4"/>
  <c r="E195" i="4" s="1"/>
  <c r="O194" i="4"/>
  <c r="P194" i="4" s="1"/>
  <c r="Q194" i="4" s="1"/>
  <c r="L194" i="4"/>
  <c r="M194" i="4" s="1"/>
  <c r="H194" i="4"/>
  <c r="I194" i="4" s="1"/>
  <c r="D194" i="4"/>
  <c r="E194" i="4" s="1"/>
  <c r="O193" i="4"/>
  <c r="P193" i="4" s="1"/>
  <c r="L193" i="4"/>
  <c r="H193" i="4"/>
  <c r="D193" i="4"/>
  <c r="O192" i="4"/>
  <c r="P192" i="4" s="1"/>
  <c r="Q192" i="4" s="1"/>
  <c r="L192" i="4"/>
  <c r="M192" i="4" s="1"/>
  <c r="H192" i="4"/>
  <c r="I192" i="4" s="1"/>
  <c r="D192" i="4"/>
  <c r="E192" i="4" s="1"/>
  <c r="O191" i="4"/>
  <c r="P191" i="4" s="1"/>
  <c r="Q191" i="4" s="1"/>
  <c r="L191" i="4"/>
  <c r="M191" i="4" s="1"/>
  <c r="H191" i="4"/>
  <c r="I191" i="4" s="1"/>
  <c r="D191" i="4"/>
  <c r="E191" i="4" s="1"/>
  <c r="O190" i="4"/>
  <c r="P190" i="4" s="1"/>
  <c r="Q190" i="4" s="1"/>
  <c r="L190" i="4"/>
  <c r="M190" i="4" s="1"/>
  <c r="H190" i="4"/>
  <c r="I190" i="4" s="1"/>
  <c r="D190" i="4"/>
  <c r="E190" i="4" s="1"/>
  <c r="O189" i="4"/>
  <c r="P189" i="4" s="1"/>
  <c r="L189" i="4"/>
  <c r="H189" i="4"/>
  <c r="D189" i="4"/>
  <c r="O188" i="4"/>
  <c r="P188" i="4" s="1"/>
  <c r="Q188" i="4" s="1"/>
  <c r="L188" i="4"/>
  <c r="M188" i="4" s="1"/>
  <c r="H188" i="4"/>
  <c r="I188" i="4" s="1"/>
  <c r="D188" i="4"/>
  <c r="E188" i="4" s="1"/>
  <c r="O187" i="4"/>
  <c r="P187" i="4" s="1"/>
  <c r="Q187" i="4" s="1"/>
  <c r="L187" i="4"/>
  <c r="M187" i="4" s="1"/>
  <c r="H187" i="4"/>
  <c r="I187" i="4" s="1"/>
  <c r="D187" i="4"/>
  <c r="E187" i="4" s="1"/>
  <c r="O186" i="4"/>
  <c r="P186" i="4" s="1"/>
  <c r="Q186" i="4" s="1"/>
  <c r="L186" i="4"/>
  <c r="M186" i="4" s="1"/>
  <c r="H186" i="4"/>
  <c r="I186" i="4" s="1"/>
  <c r="D186" i="4"/>
  <c r="E186" i="4" s="1"/>
  <c r="O185" i="4"/>
  <c r="P185" i="4" s="1"/>
  <c r="L185" i="4"/>
  <c r="H185" i="4"/>
  <c r="D185" i="4"/>
  <c r="O183" i="4"/>
  <c r="P183" i="4" s="1"/>
  <c r="Q183" i="4" s="1"/>
  <c r="L183" i="4"/>
  <c r="M183" i="4" s="1"/>
  <c r="H183" i="4"/>
  <c r="I183" i="4" s="1"/>
  <c r="D183" i="4"/>
  <c r="E183" i="4" s="1"/>
  <c r="L182" i="4"/>
  <c r="M182" i="4" s="1"/>
  <c r="H182" i="4"/>
  <c r="I182" i="4" s="1"/>
  <c r="O182" i="4"/>
  <c r="P182" i="4" s="1"/>
  <c r="Q182" i="4" s="1"/>
  <c r="L181" i="4"/>
  <c r="E31" i="3" s="1"/>
  <c r="H181" i="4"/>
  <c r="D181" i="4"/>
  <c r="C31" i="3" s="1"/>
  <c r="K179" i="4"/>
  <c r="L179" i="4" s="1"/>
  <c r="M179" i="4" s="1"/>
  <c r="H179" i="4"/>
  <c r="I179" i="4" s="1"/>
  <c r="C179" i="4"/>
  <c r="H178" i="4"/>
  <c r="I178" i="4" s="1"/>
  <c r="H177" i="4"/>
  <c r="D29" i="3" s="1"/>
  <c r="C177" i="4"/>
  <c r="O176" i="4"/>
  <c r="P176" i="4" s="1"/>
  <c r="Q176" i="4" s="1"/>
  <c r="L176" i="4"/>
  <c r="M176" i="4" s="1"/>
  <c r="H176" i="4"/>
  <c r="I176" i="4" s="1"/>
  <c r="D176" i="4"/>
  <c r="E176" i="4" s="1"/>
  <c r="O175" i="4"/>
  <c r="P175" i="4" s="1"/>
  <c r="Q175" i="4" s="1"/>
  <c r="L175" i="4"/>
  <c r="M175" i="4" s="1"/>
  <c r="H175" i="4"/>
  <c r="I175" i="4" s="1"/>
  <c r="D175" i="4"/>
  <c r="E175" i="4" s="1"/>
  <c r="O174" i="4"/>
  <c r="P174" i="4" s="1"/>
  <c r="L174" i="4"/>
  <c r="H174" i="4"/>
  <c r="D174" i="4"/>
  <c r="O173" i="4"/>
  <c r="P173" i="4" s="1"/>
  <c r="Q173" i="4" s="1"/>
  <c r="L173" i="4"/>
  <c r="M173" i="4" s="1"/>
  <c r="H173" i="4"/>
  <c r="I173" i="4" s="1"/>
  <c r="D173" i="4"/>
  <c r="E173" i="4" s="1"/>
  <c r="O172" i="4"/>
  <c r="P172" i="4" s="1"/>
  <c r="Q172" i="4" s="1"/>
  <c r="L172" i="4"/>
  <c r="M172" i="4" s="1"/>
  <c r="H172" i="4"/>
  <c r="I172" i="4" s="1"/>
  <c r="D172" i="4"/>
  <c r="E172" i="4" s="1"/>
  <c r="O171" i="4"/>
  <c r="P171" i="4" s="1"/>
  <c r="L171" i="4"/>
  <c r="H171" i="4"/>
  <c r="D171" i="4"/>
  <c r="O170" i="4"/>
  <c r="P170" i="4" s="1"/>
  <c r="Q170" i="4" s="1"/>
  <c r="L170" i="4"/>
  <c r="M170" i="4" s="1"/>
  <c r="H170" i="4"/>
  <c r="I170" i="4" s="1"/>
  <c r="D170" i="4"/>
  <c r="E170" i="4" s="1"/>
  <c r="O169" i="4"/>
  <c r="P169" i="4" s="1"/>
  <c r="Q169" i="4" s="1"/>
  <c r="L169" i="4"/>
  <c r="M169" i="4" s="1"/>
  <c r="H169" i="4"/>
  <c r="I169" i="4" s="1"/>
  <c r="D169" i="4"/>
  <c r="E169" i="4" s="1"/>
  <c r="O168" i="4"/>
  <c r="P168" i="4" s="1"/>
  <c r="L168" i="4"/>
  <c r="H168" i="4"/>
  <c r="D168" i="4"/>
  <c r="O167" i="4"/>
  <c r="P167" i="4" s="1"/>
  <c r="Q167" i="4" s="1"/>
  <c r="L167" i="4"/>
  <c r="M167" i="4" s="1"/>
  <c r="H167" i="4"/>
  <c r="I167" i="4" s="1"/>
  <c r="D167" i="4"/>
  <c r="E167" i="4" s="1"/>
  <c r="O166" i="4"/>
  <c r="P166" i="4" s="1"/>
  <c r="Q166" i="4" s="1"/>
  <c r="L166" i="4"/>
  <c r="M166" i="4" s="1"/>
  <c r="H166" i="4"/>
  <c r="I166" i="4" s="1"/>
  <c r="D166" i="4"/>
  <c r="E166" i="4" s="1"/>
  <c r="O165" i="4"/>
  <c r="P165" i="4" s="1"/>
  <c r="L165" i="4"/>
  <c r="H165" i="4"/>
  <c r="D165" i="4"/>
  <c r="O164" i="4"/>
  <c r="P164" i="4" s="1"/>
  <c r="Q164" i="4" s="1"/>
  <c r="L164" i="4"/>
  <c r="M164" i="4" s="1"/>
  <c r="H164" i="4"/>
  <c r="I164" i="4" s="1"/>
  <c r="D164" i="4"/>
  <c r="E164" i="4" s="1"/>
  <c r="O163" i="4"/>
  <c r="P163" i="4" s="1"/>
  <c r="Q163" i="4" s="1"/>
  <c r="L163" i="4"/>
  <c r="M163" i="4" s="1"/>
  <c r="H163" i="4"/>
  <c r="I163" i="4" s="1"/>
  <c r="D163" i="4"/>
  <c r="E163" i="4" s="1"/>
  <c r="O162" i="4"/>
  <c r="P162" i="4" s="1"/>
  <c r="L162" i="4"/>
  <c r="H162" i="4"/>
  <c r="D162" i="4"/>
  <c r="O161" i="4"/>
  <c r="P161" i="4" s="1"/>
  <c r="Q161" i="4" s="1"/>
  <c r="L161" i="4"/>
  <c r="M161" i="4" s="1"/>
  <c r="H161" i="4"/>
  <c r="I161" i="4" s="1"/>
  <c r="D161" i="4"/>
  <c r="E161" i="4" s="1"/>
  <c r="L160" i="4"/>
  <c r="M160" i="4" s="1"/>
  <c r="K178" i="4"/>
  <c r="L178" i="4" s="1"/>
  <c r="M178" i="4" s="1"/>
  <c r="H160" i="4"/>
  <c r="I160" i="4" s="1"/>
  <c r="D160" i="4"/>
  <c r="E160" i="4" s="1"/>
  <c r="L159" i="4"/>
  <c r="K177" i="4"/>
  <c r="L177" i="4" s="1"/>
  <c r="E29" i="3" s="1"/>
  <c r="H159" i="4"/>
  <c r="D159" i="4"/>
  <c r="O159" i="4"/>
  <c r="P159" i="4" s="1"/>
  <c r="O157" i="4"/>
  <c r="P157" i="4" s="1"/>
  <c r="Q157" i="4" s="1"/>
  <c r="L157" i="4"/>
  <c r="M157" i="4" s="1"/>
  <c r="H157" i="4"/>
  <c r="I157" i="4" s="1"/>
  <c r="D157" i="4"/>
  <c r="E157" i="4" s="1"/>
  <c r="O156" i="4"/>
  <c r="P156" i="4" s="1"/>
  <c r="Q156" i="4" s="1"/>
  <c r="F28" i="3" s="1"/>
  <c r="L156" i="4"/>
  <c r="M156" i="4" s="1"/>
  <c r="H156" i="4"/>
  <c r="I156" i="4" s="1"/>
  <c r="D156" i="4"/>
  <c r="E156" i="4" s="1"/>
  <c r="O155" i="4"/>
  <c r="P155" i="4" s="1"/>
  <c r="F27" i="3" s="1"/>
  <c r="L155" i="4"/>
  <c r="E27" i="3" s="1"/>
  <c r="H155" i="4"/>
  <c r="D27" i="3" s="1"/>
  <c r="D155" i="4"/>
  <c r="C27" i="3" s="1"/>
  <c r="K153" i="4"/>
  <c r="L153" i="4" s="1"/>
  <c r="M153" i="4" s="1"/>
  <c r="G153" i="4"/>
  <c r="H153" i="4" s="1"/>
  <c r="I153" i="4" s="1"/>
  <c r="C153" i="4"/>
  <c r="D153" i="4" s="1"/>
  <c r="E153" i="4" s="1"/>
  <c r="K152" i="4"/>
  <c r="L152" i="4" s="1"/>
  <c r="M152" i="4" s="1"/>
  <c r="G152" i="4"/>
  <c r="H152" i="4" s="1"/>
  <c r="I152" i="4" s="1"/>
  <c r="C152" i="4"/>
  <c r="D152" i="4" s="1"/>
  <c r="E152" i="4" s="1"/>
  <c r="K151" i="4"/>
  <c r="L151" i="4" s="1"/>
  <c r="G151" i="4"/>
  <c r="H151" i="4" s="1"/>
  <c r="D25" i="3" s="1"/>
  <c r="O150" i="4"/>
  <c r="P150" i="4" s="1"/>
  <c r="Q150" i="4" s="1"/>
  <c r="L150" i="4"/>
  <c r="M150" i="4" s="1"/>
  <c r="H150" i="4"/>
  <c r="I150" i="4" s="1"/>
  <c r="D150" i="4"/>
  <c r="E150" i="4" s="1"/>
  <c r="O149" i="4"/>
  <c r="P149" i="4" s="1"/>
  <c r="Q149" i="4" s="1"/>
  <c r="L149" i="4"/>
  <c r="M149" i="4" s="1"/>
  <c r="H149" i="4"/>
  <c r="I149" i="4" s="1"/>
  <c r="D149" i="4"/>
  <c r="E149" i="4" s="1"/>
  <c r="O148" i="4"/>
  <c r="P148" i="4" s="1"/>
  <c r="L148" i="4"/>
  <c r="H148" i="4"/>
  <c r="D148" i="4"/>
  <c r="O147" i="4"/>
  <c r="P147" i="4" s="1"/>
  <c r="Q147" i="4" s="1"/>
  <c r="L147" i="4"/>
  <c r="M147" i="4" s="1"/>
  <c r="H147" i="4"/>
  <c r="I147" i="4" s="1"/>
  <c r="D147" i="4"/>
  <c r="E147" i="4" s="1"/>
  <c r="O146" i="4"/>
  <c r="P146" i="4" s="1"/>
  <c r="Q146" i="4" s="1"/>
  <c r="L146" i="4"/>
  <c r="M146" i="4" s="1"/>
  <c r="H146" i="4"/>
  <c r="I146" i="4" s="1"/>
  <c r="D146" i="4"/>
  <c r="E146" i="4" s="1"/>
  <c r="L145" i="4"/>
  <c r="H145" i="4"/>
  <c r="D145" i="4"/>
  <c r="C151" i="4"/>
  <c r="O144" i="4"/>
  <c r="P144" i="4" s="1"/>
  <c r="Q144" i="4" s="1"/>
  <c r="L144" i="4"/>
  <c r="M144" i="4" s="1"/>
  <c r="H144" i="4"/>
  <c r="I144" i="4" s="1"/>
  <c r="D144" i="4"/>
  <c r="E144" i="4" s="1"/>
  <c r="O143" i="4"/>
  <c r="P143" i="4" s="1"/>
  <c r="Q143" i="4" s="1"/>
  <c r="L143" i="4"/>
  <c r="M143" i="4" s="1"/>
  <c r="H143" i="4"/>
  <c r="I143" i="4" s="1"/>
  <c r="D143" i="4"/>
  <c r="E143" i="4" s="1"/>
  <c r="O142" i="4"/>
  <c r="P142" i="4" s="1"/>
  <c r="L142" i="4"/>
  <c r="H142" i="4"/>
  <c r="D142" i="4"/>
  <c r="O141" i="4"/>
  <c r="P141" i="4" s="1"/>
  <c r="Q141" i="4" s="1"/>
  <c r="L141" i="4"/>
  <c r="M141" i="4" s="1"/>
  <c r="H141" i="4"/>
  <c r="I141" i="4" s="1"/>
  <c r="D141" i="4"/>
  <c r="E141" i="4" s="1"/>
  <c r="O140" i="4"/>
  <c r="P140" i="4" s="1"/>
  <c r="Q140" i="4" s="1"/>
  <c r="L140" i="4"/>
  <c r="M140" i="4" s="1"/>
  <c r="H140" i="4"/>
  <c r="I140" i="4" s="1"/>
  <c r="D140" i="4"/>
  <c r="E140" i="4" s="1"/>
  <c r="O139" i="4"/>
  <c r="P139" i="4" s="1"/>
  <c r="L139" i="4"/>
  <c r="H139" i="4"/>
  <c r="D139" i="4"/>
  <c r="O138" i="4"/>
  <c r="P138" i="4" s="1"/>
  <c r="Q138" i="4" s="1"/>
  <c r="L138" i="4"/>
  <c r="M138" i="4" s="1"/>
  <c r="H138" i="4"/>
  <c r="I138" i="4" s="1"/>
  <c r="D138" i="4"/>
  <c r="E138" i="4" s="1"/>
  <c r="O137" i="4"/>
  <c r="P137" i="4" s="1"/>
  <c r="Q137" i="4" s="1"/>
  <c r="L137" i="4"/>
  <c r="M137" i="4" s="1"/>
  <c r="H137" i="4"/>
  <c r="I137" i="4" s="1"/>
  <c r="D137" i="4"/>
  <c r="E137" i="4" s="1"/>
  <c r="O136" i="4"/>
  <c r="P136" i="4" s="1"/>
  <c r="L136" i="4"/>
  <c r="H136" i="4"/>
  <c r="D136" i="4"/>
  <c r="O135" i="4"/>
  <c r="P135" i="4" s="1"/>
  <c r="Q135" i="4" s="1"/>
  <c r="L135" i="4"/>
  <c r="M135" i="4" s="1"/>
  <c r="H135" i="4"/>
  <c r="I135" i="4" s="1"/>
  <c r="D135" i="4"/>
  <c r="E135" i="4" s="1"/>
  <c r="O134" i="4"/>
  <c r="P134" i="4" s="1"/>
  <c r="Q134" i="4" s="1"/>
  <c r="L134" i="4"/>
  <c r="M134" i="4" s="1"/>
  <c r="H134" i="4"/>
  <c r="I134" i="4" s="1"/>
  <c r="D134" i="4"/>
  <c r="E134" i="4" s="1"/>
  <c r="O133" i="4"/>
  <c r="P133" i="4" s="1"/>
  <c r="L133" i="4"/>
  <c r="H133" i="4"/>
  <c r="D133" i="4"/>
  <c r="O132" i="4"/>
  <c r="P132" i="4" s="1"/>
  <c r="Q132" i="4" s="1"/>
  <c r="L132" i="4"/>
  <c r="M132" i="4" s="1"/>
  <c r="H132" i="4"/>
  <c r="I132" i="4" s="1"/>
  <c r="D132" i="4"/>
  <c r="E132" i="4" s="1"/>
  <c r="O131" i="4"/>
  <c r="P131" i="4" s="1"/>
  <c r="Q131" i="4" s="1"/>
  <c r="L131" i="4"/>
  <c r="M131" i="4" s="1"/>
  <c r="H131" i="4"/>
  <c r="I131" i="4" s="1"/>
  <c r="D131" i="4"/>
  <c r="E131" i="4" s="1"/>
  <c r="O130" i="4"/>
  <c r="P130" i="4" s="1"/>
  <c r="L130" i="4"/>
  <c r="N130" i="4" s="1"/>
  <c r="H130" i="4"/>
  <c r="D130" i="4"/>
  <c r="O129" i="4"/>
  <c r="P129" i="4" s="1"/>
  <c r="Q129" i="4" s="1"/>
  <c r="L129" i="4"/>
  <c r="M129" i="4" s="1"/>
  <c r="H129" i="4"/>
  <c r="I129" i="4" s="1"/>
  <c r="D129" i="4"/>
  <c r="E129" i="4" s="1"/>
  <c r="O128" i="4"/>
  <c r="P128" i="4" s="1"/>
  <c r="Q128" i="4" s="1"/>
  <c r="L128" i="4"/>
  <c r="M128" i="4" s="1"/>
  <c r="H128" i="4"/>
  <c r="I128" i="4" s="1"/>
  <c r="D128" i="4"/>
  <c r="E128" i="4" s="1"/>
  <c r="O127" i="4"/>
  <c r="P127" i="4" s="1"/>
  <c r="L127" i="4"/>
  <c r="H127" i="4"/>
  <c r="D127" i="4"/>
  <c r="O126" i="4"/>
  <c r="P126" i="4" s="1"/>
  <c r="Q126" i="4" s="1"/>
  <c r="L126" i="4"/>
  <c r="M126" i="4" s="1"/>
  <c r="H126" i="4"/>
  <c r="I126" i="4" s="1"/>
  <c r="D126" i="4"/>
  <c r="E126" i="4" s="1"/>
  <c r="O125" i="4"/>
  <c r="P125" i="4" s="1"/>
  <c r="Q125" i="4" s="1"/>
  <c r="L125" i="4"/>
  <c r="M125" i="4" s="1"/>
  <c r="H125" i="4"/>
  <c r="I125" i="4" s="1"/>
  <c r="D125" i="4"/>
  <c r="E125" i="4" s="1"/>
  <c r="O124" i="4"/>
  <c r="P124" i="4" s="1"/>
  <c r="L124" i="4"/>
  <c r="H124" i="4"/>
  <c r="D124" i="4"/>
  <c r="O123" i="4"/>
  <c r="P123" i="4" s="1"/>
  <c r="Q123" i="4" s="1"/>
  <c r="L123" i="4"/>
  <c r="M123" i="4" s="1"/>
  <c r="H123" i="4"/>
  <c r="I123" i="4" s="1"/>
  <c r="D123" i="4"/>
  <c r="E123" i="4" s="1"/>
  <c r="O122" i="4"/>
  <c r="P122" i="4" s="1"/>
  <c r="Q122" i="4" s="1"/>
  <c r="L122" i="4"/>
  <c r="M122" i="4" s="1"/>
  <c r="H122" i="4"/>
  <c r="I122" i="4" s="1"/>
  <c r="D122" i="4"/>
  <c r="E122" i="4" s="1"/>
  <c r="O121" i="4"/>
  <c r="P121" i="4" s="1"/>
  <c r="L121" i="4"/>
  <c r="N121" i="4" s="1"/>
  <c r="H121" i="4"/>
  <c r="D121" i="4"/>
  <c r="O119" i="4"/>
  <c r="P119" i="4" s="1"/>
  <c r="Q119" i="4" s="1"/>
  <c r="L119" i="4"/>
  <c r="M119" i="4" s="1"/>
  <c r="H119" i="4"/>
  <c r="I119" i="4" s="1"/>
  <c r="D119" i="4"/>
  <c r="E119" i="4" s="1"/>
  <c r="L118" i="4"/>
  <c r="M118" i="4" s="1"/>
  <c r="H118" i="4"/>
  <c r="I118" i="4" s="1"/>
  <c r="D118" i="4"/>
  <c r="E118" i="4" s="1"/>
  <c r="L117" i="4"/>
  <c r="E23" i="3" s="1"/>
  <c r="H117" i="4"/>
  <c r="D23" i="3" s="1"/>
  <c r="O117" i="4"/>
  <c r="P117" i="4" s="1"/>
  <c r="F23" i="3" s="1"/>
  <c r="O115" i="4"/>
  <c r="P115" i="4" s="1"/>
  <c r="Q115" i="4" s="1"/>
  <c r="L115" i="4"/>
  <c r="M115" i="4" s="1"/>
  <c r="H115" i="4"/>
  <c r="I115" i="4" s="1"/>
  <c r="D115" i="4"/>
  <c r="E115" i="4" s="1"/>
  <c r="O114" i="4"/>
  <c r="P114" i="4" s="1"/>
  <c r="Q114" i="4" s="1"/>
  <c r="F22" i="3" s="1"/>
  <c r="L114" i="4"/>
  <c r="M114" i="4" s="1"/>
  <c r="H114" i="4"/>
  <c r="I114" i="4" s="1"/>
  <c r="D22" i="3" s="1"/>
  <c r="D114" i="4"/>
  <c r="E114" i="4" s="1"/>
  <c r="C22" i="3" s="1"/>
  <c r="L113" i="4"/>
  <c r="E21" i="3" s="1"/>
  <c r="H113" i="4"/>
  <c r="D21" i="3" s="1"/>
  <c r="D113" i="4"/>
  <c r="C21" i="3" s="1"/>
  <c r="G111" i="4"/>
  <c r="H111" i="4" s="1"/>
  <c r="I111" i="4" s="1"/>
  <c r="C111" i="4"/>
  <c r="K110" i="4"/>
  <c r="L110" i="4" s="1"/>
  <c r="M110" i="4" s="1"/>
  <c r="G110" i="4"/>
  <c r="H110" i="4" s="1"/>
  <c r="I110" i="4" s="1"/>
  <c r="C110" i="4"/>
  <c r="G109" i="4"/>
  <c r="C109" i="4"/>
  <c r="H108" i="4"/>
  <c r="I108" i="4" s="1"/>
  <c r="D108" i="4"/>
  <c r="E108" i="4" s="1"/>
  <c r="O107" i="4"/>
  <c r="P107" i="4" s="1"/>
  <c r="Q107" i="4" s="1"/>
  <c r="L107" i="4"/>
  <c r="M107" i="4" s="1"/>
  <c r="H107" i="4"/>
  <c r="I107" i="4" s="1"/>
  <c r="D107" i="4"/>
  <c r="E107" i="4" s="1"/>
  <c r="O106" i="4"/>
  <c r="P106" i="4" s="1"/>
  <c r="L106" i="4"/>
  <c r="H106" i="4"/>
  <c r="D106" i="4"/>
  <c r="O105" i="4"/>
  <c r="P105" i="4" s="1"/>
  <c r="Q105" i="4" s="1"/>
  <c r="L105" i="4"/>
  <c r="M105" i="4" s="1"/>
  <c r="H105" i="4"/>
  <c r="I105" i="4" s="1"/>
  <c r="D105" i="4"/>
  <c r="E105" i="4" s="1"/>
  <c r="O104" i="4"/>
  <c r="P104" i="4" s="1"/>
  <c r="Q104" i="4" s="1"/>
  <c r="L104" i="4"/>
  <c r="M104" i="4" s="1"/>
  <c r="H104" i="4"/>
  <c r="I104" i="4" s="1"/>
  <c r="D104" i="4"/>
  <c r="E104" i="4" s="1"/>
  <c r="O103" i="4"/>
  <c r="P103" i="4" s="1"/>
  <c r="L103" i="4"/>
  <c r="H103" i="4"/>
  <c r="D103" i="4"/>
  <c r="O102" i="4"/>
  <c r="P102" i="4" s="1"/>
  <c r="Q102" i="4" s="1"/>
  <c r="L102" i="4"/>
  <c r="M102" i="4" s="1"/>
  <c r="H102" i="4"/>
  <c r="I102" i="4" s="1"/>
  <c r="D102" i="4"/>
  <c r="E102" i="4" s="1"/>
  <c r="O101" i="4"/>
  <c r="P101" i="4" s="1"/>
  <c r="Q101" i="4" s="1"/>
  <c r="L101" i="4"/>
  <c r="M101" i="4" s="1"/>
  <c r="H101" i="4"/>
  <c r="I101" i="4" s="1"/>
  <c r="D101" i="4"/>
  <c r="E101" i="4" s="1"/>
  <c r="L100" i="4"/>
  <c r="K109" i="4"/>
  <c r="L109" i="4" s="1"/>
  <c r="E19" i="3" s="1"/>
  <c r="H100" i="4"/>
  <c r="D100" i="4"/>
  <c r="O100" i="4"/>
  <c r="P100" i="4" s="1"/>
  <c r="O99" i="4"/>
  <c r="P99" i="4" s="1"/>
  <c r="Q99" i="4" s="1"/>
  <c r="L99" i="4"/>
  <c r="M99" i="4" s="1"/>
  <c r="H99" i="4"/>
  <c r="I99" i="4" s="1"/>
  <c r="D99" i="4"/>
  <c r="E99" i="4" s="1"/>
  <c r="O98" i="4"/>
  <c r="P98" i="4" s="1"/>
  <c r="Q98" i="4" s="1"/>
  <c r="L98" i="4"/>
  <c r="M98" i="4" s="1"/>
  <c r="H98" i="4"/>
  <c r="I98" i="4" s="1"/>
  <c r="D98" i="4"/>
  <c r="E98" i="4" s="1"/>
  <c r="O97" i="4"/>
  <c r="P97" i="4" s="1"/>
  <c r="L97" i="4"/>
  <c r="H97" i="4"/>
  <c r="D97" i="4"/>
  <c r="K95" i="4"/>
  <c r="G95" i="4"/>
  <c r="C95" i="4"/>
  <c r="K94" i="4"/>
  <c r="L94" i="4" s="1"/>
  <c r="M94" i="4" s="1"/>
  <c r="G94" i="4"/>
  <c r="K93" i="4"/>
  <c r="L93" i="4" s="1"/>
  <c r="E17" i="3" s="1"/>
  <c r="G93" i="4"/>
  <c r="C93" i="4"/>
  <c r="O92" i="4"/>
  <c r="P92" i="4" s="1"/>
  <c r="Q92" i="4" s="1"/>
  <c r="L92" i="4"/>
  <c r="M92" i="4" s="1"/>
  <c r="H92" i="4"/>
  <c r="I92" i="4" s="1"/>
  <c r="D92" i="4"/>
  <c r="E92" i="4" s="1"/>
  <c r="O91" i="4"/>
  <c r="P91" i="4" s="1"/>
  <c r="Q91" i="4" s="1"/>
  <c r="L91" i="4"/>
  <c r="M91" i="4" s="1"/>
  <c r="H91" i="4"/>
  <c r="I91" i="4" s="1"/>
  <c r="D91" i="4"/>
  <c r="E91" i="4" s="1"/>
  <c r="O90" i="4"/>
  <c r="P90" i="4" s="1"/>
  <c r="L90" i="4"/>
  <c r="H90" i="4"/>
  <c r="D90" i="4"/>
  <c r="O89" i="4"/>
  <c r="P89" i="4" s="1"/>
  <c r="Q89" i="4" s="1"/>
  <c r="L89" i="4"/>
  <c r="M89" i="4" s="1"/>
  <c r="H89" i="4"/>
  <c r="I89" i="4" s="1"/>
  <c r="D89" i="4"/>
  <c r="E89" i="4" s="1"/>
  <c r="O88" i="4"/>
  <c r="P88" i="4" s="1"/>
  <c r="Q88" i="4" s="1"/>
  <c r="L88" i="4"/>
  <c r="M88" i="4" s="1"/>
  <c r="H88" i="4"/>
  <c r="I88" i="4" s="1"/>
  <c r="D88" i="4"/>
  <c r="E88" i="4" s="1"/>
  <c r="O87" i="4"/>
  <c r="P87" i="4" s="1"/>
  <c r="L87" i="4"/>
  <c r="H87" i="4"/>
  <c r="D87" i="4"/>
  <c r="O86" i="4"/>
  <c r="P86" i="4" s="1"/>
  <c r="Q86" i="4" s="1"/>
  <c r="L86" i="4"/>
  <c r="M86" i="4" s="1"/>
  <c r="H86" i="4"/>
  <c r="I86" i="4" s="1"/>
  <c r="D86" i="4"/>
  <c r="E86" i="4" s="1"/>
  <c r="O85" i="4"/>
  <c r="P85" i="4" s="1"/>
  <c r="Q85" i="4" s="1"/>
  <c r="L85" i="4"/>
  <c r="M85" i="4" s="1"/>
  <c r="H85" i="4"/>
  <c r="I85" i="4" s="1"/>
  <c r="D85" i="4"/>
  <c r="E85" i="4" s="1"/>
  <c r="O84" i="4"/>
  <c r="P84" i="4" s="1"/>
  <c r="L84" i="4"/>
  <c r="H84" i="4"/>
  <c r="D84" i="4"/>
  <c r="O83" i="4"/>
  <c r="P83" i="4" s="1"/>
  <c r="Q83" i="4" s="1"/>
  <c r="L83" i="4"/>
  <c r="M83" i="4" s="1"/>
  <c r="H83" i="4"/>
  <c r="I83" i="4" s="1"/>
  <c r="D83" i="4"/>
  <c r="E83" i="4" s="1"/>
  <c r="O82" i="4"/>
  <c r="P82" i="4" s="1"/>
  <c r="Q82" i="4" s="1"/>
  <c r="L82" i="4"/>
  <c r="M82" i="4" s="1"/>
  <c r="H82" i="4"/>
  <c r="I82" i="4" s="1"/>
  <c r="D82" i="4"/>
  <c r="E82" i="4" s="1"/>
  <c r="O81" i="4"/>
  <c r="P81" i="4" s="1"/>
  <c r="L81" i="4"/>
  <c r="H81" i="4"/>
  <c r="D81" i="4"/>
  <c r="O80" i="4"/>
  <c r="P80" i="4" s="1"/>
  <c r="Q80" i="4" s="1"/>
  <c r="L80" i="4"/>
  <c r="M80" i="4" s="1"/>
  <c r="H80" i="4"/>
  <c r="I80" i="4" s="1"/>
  <c r="D80" i="4"/>
  <c r="E80" i="4" s="1"/>
  <c r="L79" i="4"/>
  <c r="M79" i="4" s="1"/>
  <c r="H79" i="4"/>
  <c r="I79" i="4" s="1"/>
  <c r="D79" i="4"/>
  <c r="E79" i="4" s="1"/>
  <c r="O78" i="4"/>
  <c r="P78" i="4" s="1"/>
  <c r="L78" i="4"/>
  <c r="H78" i="4"/>
  <c r="D78" i="4"/>
  <c r="O77" i="4"/>
  <c r="P77" i="4" s="1"/>
  <c r="Q77" i="4" s="1"/>
  <c r="L77" i="4"/>
  <c r="M77" i="4" s="1"/>
  <c r="H77" i="4"/>
  <c r="I77" i="4" s="1"/>
  <c r="D77" i="4"/>
  <c r="E77" i="4" s="1"/>
  <c r="O76" i="4"/>
  <c r="P76" i="4" s="1"/>
  <c r="Q76" i="4" s="1"/>
  <c r="L76" i="4"/>
  <c r="M76" i="4" s="1"/>
  <c r="H76" i="4"/>
  <c r="I76" i="4" s="1"/>
  <c r="D76" i="4"/>
  <c r="E76" i="4" s="1"/>
  <c r="O75" i="4"/>
  <c r="P75" i="4" s="1"/>
  <c r="L75" i="4"/>
  <c r="H75" i="4"/>
  <c r="D75" i="4"/>
  <c r="O74" i="4"/>
  <c r="P74" i="4" s="1"/>
  <c r="Q74" i="4" s="1"/>
  <c r="L74" i="4"/>
  <c r="M74" i="4" s="1"/>
  <c r="H74" i="4"/>
  <c r="I74" i="4" s="1"/>
  <c r="D74" i="4"/>
  <c r="E74" i="4" s="1"/>
  <c r="O73" i="4"/>
  <c r="P73" i="4" s="1"/>
  <c r="Q73" i="4" s="1"/>
  <c r="L73" i="4"/>
  <c r="M73" i="4" s="1"/>
  <c r="H73" i="4"/>
  <c r="I73" i="4" s="1"/>
  <c r="D73" i="4"/>
  <c r="E73" i="4" s="1"/>
  <c r="O72" i="4"/>
  <c r="P72" i="4" s="1"/>
  <c r="L72" i="4"/>
  <c r="H72" i="4"/>
  <c r="D72" i="4"/>
  <c r="O71" i="4"/>
  <c r="P71" i="4" s="1"/>
  <c r="Q71" i="4" s="1"/>
  <c r="L71" i="4"/>
  <c r="M71" i="4" s="1"/>
  <c r="H71" i="4"/>
  <c r="I71" i="4" s="1"/>
  <c r="D71" i="4"/>
  <c r="E71" i="4" s="1"/>
  <c r="O70" i="4"/>
  <c r="P70" i="4" s="1"/>
  <c r="Q70" i="4" s="1"/>
  <c r="L70" i="4"/>
  <c r="M70" i="4" s="1"/>
  <c r="H70" i="4"/>
  <c r="I70" i="4" s="1"/>
  <c r="D70" i="4"/>
  <c r="E70" i="4" s="1"/>
  <c r="O69" i="4"/>
  <c r="P69" i="4" s="1"/>
  <c r="L69" i="4"/>
  <c r="H69" i="4"/>
  <c r="D69" i="4"/>
  <c r="O68" i="4"/>
  <c r="P68" i="4" s="1"/>
  <c r="Q68" i="4" s="1"/>
  <c r="L68" i="4"/>
  <c r="M68" i="4" s="1"/>
  <c r="H68" i="4"/>
  <c r="I68" i="4" s="1"/>
  <c r="D68" i="4"/>
  <c r="E68" i="4" s="1"/>
  <c r="O67" i="4"/>
  <c r="P67" i="4" s="1"/>
  <c r="Q67" i="4" s="1"/>
  <c r="L67" i="4"/>
  <c r="M67" i="4" s="1"/>
  <c r="H67" i="4"/>
  <c r="I67" i="4" s="1"/>
  <c r="D67" i="4"/>
  <c r="E67" i="4" s="1"/>
  <c r="O66" i="4"/>
  <c r="P66" i="4" s="1"/>
  <c r="L66" i="4"/>
  <c r="H66" i="4"/>
  <c r="D66" i="4"/>
  <c r="O65" i="4"/>
  <c r="P65" i="4" s="1"/>
  <c r="Q65" i="4" s="1"/>
  <c r="L65" i="4"/>
  <c r="M65" i="4" s="1"/>
  <c r="H65" i="4"/>
  <c r="I65" i="4" s="1"/>
  <c r="D65" i="4"/>
  <c r="E65" i="4" s="1"/>
  <c r="O64" i="4"/>
  <c r="P64" i="4" s="1"/>
  <c r="Q64" i="4" s="1"/>
  <c r="L64" i="4"/>
  <c r="M64" i="4" s="1"/>
  <c r="H64" i="4"/>
  <c r="I64" i="4" s="1"/>
  <c r="D64" i="4"/>
  <c r="E64" i="4" s="1"/>
  <c r="O63" i="4"/>
  <c r="P63" i="4" s="1"/>
  <c r="L63" i="4"/>
  <c r="H63" i="4"/>
  <c r="D63" i="4"/>
  <c r="O62" i="4"/>
  <c r="P62" i="4" s="1"/>
  <c r="Q62" i="4" s="1"/>
  <c r="L62" i="4"/>
  <c r="M62" i="4" s="1"/>
  <c r="H62" i="4"/>
  <c r="I62" i="4" s="1"/>
  <c r="D62" i="4"/>
  <c r="E62" i="4" s="1"/>
  <c r="O61" i="4"/>
  <c r="P61" i="4" s="1"/>
  <c r="Q61" i="4" s="1"/>
  <c r="L61" i="4"/>
  <c r="M61" i="4" s="1"/>
  <c r="H61" i="4"/>
  <c r="I61" i="4" s="1"/>
  <c r="D61" i="4"/>
  <c r="E61" i="4" s="1"/>
  <c r="O60" i="4"/>
  <c r="P60" i="4" s="1"/>
  <c r="L60" i="4"/>
  <c r="H60" i="4"/>
  <c r="D60" i="4"/>
  <c r="O58" i="4"/>
  <c r="P58" i="4" s="1"/>
  <c r="Q58" i="4" s="1"/>
  <c r="L58" i="4"/>
  <c r="M58" i="4" s="1"/>
  <c r="H58" i="4"/>
  <c r="I58" i="4" s="1"/>
  <c r="D58" i="4"/>
  <c r="E58" i="4" s="1"/>
  <c r="O57" i="4"/>
  <c r="P57" i="4" s="1"/>
  <c r="Q57" i="4" s="1"/>
  <c r="F16" i="3" s="1"/>
  <c r="L57" i="4"/>
  <c r="M57" i="4" s="1"/>
  <c r="H57" i="4"/>
  <c r="I57" i="4" s="1"/>
  <c r="D57" i="4"/>
  <c r="E57" i="4" s="1"/>
  <c r="O56" i="4"/>
  <c r="P56" i="4" s="1"/>
  <c r="F15" i="3" s="1"/>
  <c r="L56" i="4"/>
  <c r="E15" i="3" s="1"/>
  <c r="H56" i="4"/>
  <c r="D15" i="3" s="1"/>
  <c r="D56" i="4"/>
  <c r="C15" i="3" s="1"/>
  <c r="O54" i="4"/>
  <c r="P54" i="4" s="1"/>
  <c r="Q54" i="4" s="1"/>
  <c r="L54" i="4"/>
  <c r="M54" i="4" s="1"/>
  <c r="H54" i="4"/>
  <c r="I54" i="4" s="1"/>
  <c r="D54" i="4"/>
  <c r="E54" i="4" s="1"/>
  <c r="L53" i="4"/>
  <c r="M53" i="4" s="1"/>
  <c r="H53" i="4"/>
  <c r="I53" i="4" s="1"/>
  <c r="D53" i="4"/>
  <c r="E53" i="4" s="1"/>
  <c r="L52" i="4"/>
  <c r="H52" i="4"/>
  <c r="D52" i="4"/>
  <c r="C13" i="3" s="1"/>
  <c r="P52" i="4"/>
  <c r="F13" i="3" s="1"/>
  <c r="C12" i="3"/>
  <c r="E12" i="3"/>
  <c r="O19" i="4"/>
  <c r="P19" i="4" s="1"/>
  <c r="Q19" i="4" s="1"/>
  <c r="L19" i="4"/>
  <c r="M19" i="4" s="1"/>
  <c r="H19" i="4"/>
  <c r="I19" i="4" s="1"/>
  <c r="D19" i="4"/>
  <c r="E19" i="4" s="1"/>
  <c r="F17" i="4" s="1"/>
  <c r="L18" i="4"/>
  <c r="M18" i="4" s="1"/>
  <c r="O18" i="4"/>
  <c r="O17" i="4"/>
  <c r="P17" i="4" s="1"/>
  <c r="F9" i="3" s="1"/>
  <c r="L17" i="4"/>
  <c r="E9" i="3" s="1"/>
  <c r="O15" i="4"/>
  <c r="P15" i="4" s="1"/>
  <c r="Q15" i="4" s="1"/>
  <c r="L15" i="4"/>
  <c r="M15" i="4" s="1"/>
  <c r="H15" i="4"/>
  <c r="I15" i="4" s="1"/>
  <c r="D15" i="4"/>
  <c r="E15" i="4" s="1"/>
  <c r="O14" i="4"/>
  <c r="P14" i="4" s="1"/>
  <c r="Q14" i="4" s="1"/>
  <c r="F8" i="3" s="1"/>
  <c r="L14" i="4"/>
  <c r="M14" i="4" s="1"/>
  <c r="H14" i="4"/>
  <c r="I14" i="4" s="1"/>
  <c r="D14" i="4"/>
  <c r="E14" i="4" s="1"/>
  <c r="O13" i="4"/>
  <c r="P13" i="4" s="1"/>
  <c r="F7" i="3" s="1"/>
  <c r="L13" i="4"/>
  <c r="E7" i="3" s="1"/>
  <c r="H13" i="4"/>
  <c r="D7" i="3" s="1"/>
  <c r="D13" i="4"/>
  <c r="C7" i="3" s="1"/>
  <c r="O7" i="4"/>
  <c r="P7" i="4" s="1"/>
  <c r="L7" i="4"/>
  <c r="M7" i="4" s="1"/>
  <c r="H7" i="4"/>
  <c r="I7" i="4" s="1"/>
  <c r="D7" i="4"/>
  <c r="E7" i="4" s="1"/>
  <c r="F5" i="4" s="1"/>
  <c r="H6" i="4"/>
  <c r="I6" i="4" s="1"/>
  <c r="H5" i="4"/>
  <c r="D3" i="3" s="1"/>
  <c r="E58" i="3"/>
  <c r="D58" i="3"/>
  <c r="E57" i="3"/>
  <c r="E54" i="3"/>
  <c r="D53" i="3"/>
  <c r="E52" i="3"/>
  <c r="D51" i="3"/>
  <c r="D49" i="3"/>
  <c r="E46" i="3"/>
  <c r="E45" i="3"/>
  <c r="D45" i="3"/>
  <c r="E43" i="3"/>
  <c r="C43" i="3"/>
  <c r="E41" i="3"/>
  <c r="C40" i="3"/>
  <c r="E39" i="3"/>
  <c r="D37" i="3"/>
  <c r="C33" i="3"/>
  <c r="D31" i="3"/>
  <c r="C28" i="3"/>
  <c r="E22" i="3"/>
  <c r="D12" i="3"/>
  <c r="E11" i="3"/>
  <c r="D11" i="3"/>
  <c r="C11" i="3"/>
  <c r="D9" i="3"/>
  <c r="C9" i="3"/>
  <c r="C3" i="3"/>
  <c r="G297" i="2"/>
  <c r="C297" i="2"/>
  <c r="G296" i="2"/>
  <c r="C296" i="2"/>
  <c r="O294" i="2"/>
  <c r="P294" i="2" s="1"/>
  <c r="Q294" i="2" s="1"/>
  <c r="H294" i="2"/>
  <c r="I294" i="2" s="1"/>
  <c r="D294" i="2"/>
  <c r="E294" i="2" s="1"/>
  <c r="O293" i="2"/>
  <c r="P293" i="2" s="1"/>
  <c r="Q293" i="2" s="1"/>
  <c r="H293" i="2"/>
  <c r="I293" i="2" s="1"/>
  <c r="D293" i="2"/>
  <c r="E293" i="2" s="1"/>
  <c r="H292" i="2"/>
  <c r="D59" i="1" s="1"/>
  <c r="D292" i="2"/>
  <c r="C59" i="1" s="1"/>
  <c r="O286" i="2"/>
  <c r="O297" i="2" s="1"/>
  <c r="H286" i="2"/>
  <c r="D286" i="2"/>
  <c r="O285" i="2"/>
  <c r="H285" i="2"/>
  <c r="I285" i="2" s="1"/>
  <c r="D285" i="2"/>
  <c r="H284" i="2"/>
  <c r="D55" i="1" s="1"/>
  <c r="D284" i="2"/>
  <c r="C55" i="1" s="1"/>
  <c r="G279" i="2"/>
  <c r="C279" i="2"/>
  <c r="G278" i="2"/>
  <c r="C278" i="2"/>
  <c r="G277" i="2"/>
  <c r="O276" i="2"/>
  <c r="P276" i="2" s="1"/>
  <c r="Q276" i="2" s="1"/>
  <c r="I276" i="2"/>
  <c r="D276" i="2"/>
  <c r="E276" i="2" s="1"/>
  <c r="O275" i="2"/>
  <c r="P275" i="2" s="1"/>
  <c r="Q275" i="2" s="1"/>
  <c r="E54" i="1"/>
  <c r="H275" i="2"/>
  <c r="I275" i="2" s="1"/>
  <c r="D54" i="1" s="1"/>
  <c r="D275" i="2"/>
  <c r="E275" i="2" s="1"/>
  <c r="C54" i="1" s="1"/>
  <c r="H274" i="2"/>
  <c r="D53" i="1" s="1"/>
  <c r="D274" i="2"/>
  <c r="C53" i="1" s="1"/>
  <c r="O272" i="2"/>
  <c r="P272" i="2" s="1"/>
  <c r="Q272" i="2" s="1"/>
  <c r="H272" i="2"/>
  <c r="I272" i="2" s="1"/>
  <c r="D272" i="2"/>
  <c r="E272" i="2" s="1"/>
  <c r="O271" i="2"/>
  <c r="P271" i="2" s="1"/>
  <c r="Q271" i="2" s="1"/>
  <c r="H271" i="2"/>
  <c r="I271" i="2" s="1"/>
  <c r="D271" i="2"/>
  <c r="E271" i="2" s="1"/>
  <c r="H270" i="2"/>
  <c r="D51" i="1" s="1"/>
  <c r="D270" i="2"/>
  <c r="C51" i="1" s="1"/>
  <c r="O268" i="2"/>
  <c r="H268" i="2"/>
  <c r="D268" i="2"/>
  <c r="E268" i="2" s="1"/>
  <c r="O267" i="2"/>
  <c r="H267" i="2"/>
  <c r="I267" i="2" s="1"/>
  <c r="D267" i="2"/>
  <c r="H266" i="2"/>
  <c r="D49" i="1" s="1"/>
  <c r="C277" i="2"/>
  <c r="Q260" i="2"/>
  <c r="O259" i="2"/>
  <c r="P259" i="2" s="1"/>
  <c r="Q259" i="2" s="1"/>
  <c r="H259" i="2"/>
  <c r="I259" i="2" s="1"/>
  <c r="D259" i="2"/>
  <c r="E259" i="2" s="1"/>
  <c r="O258" i="2"/>
  <c r="P258" i="2" s="1"/>
  <c r="Q258" i="2" s="1"/>
  <c r="H258" i="2"/>
  <c r="I258" i="2" s="1"/>
  <c r="D258" i="2"/>
  <c r="E258" i="2" s="1"/>
  <c r="O257" i="2"/>
  <c r="P257" i="2" s="1"/>
  <c r="F47" i="1" s="1"/>
  <c r="H257" i="2"/>
  <c r="D47" i="1" s="1"/>
  <c r="D257" i="2"/>
  <c r="C47" i="1" s="1"/>
  <c r="H255" i="2"/>
  <c r="I255" i="2" s="1"/>
  <c r="D255" i="2"/>
  <c r="E255" i="2" s="1"/>
  <c r="H254" i="2"/>
  <c r="I254" i="2" s="1"/>
  <c r="D254" i="2"/>
  <c r="E254" i="2" s="1"/>
  <c r="O253" i="2"/>
  <c r="P253" i="2" s="1"/>
  <c r="F45" i="1" s="1"/>
  <c r="H253" i="2"/>
  <c r="D45" i="1" s="1"/>
  <c r="D253" i="2"/>
  <c r="C45" i="1" s="1"/>
  <c r="O251" i="2"/>
  <c r="P251" i="2" s="1"/>
  <c r="Q251" i="2" s="1"/>
  <c r="H251" i="2"/>
  <c r="I251" i="2" s="1"/>
  <c r="D251" i="2"/>
  <c r="E251" i="2" s="1"/>
  <c r="O250" i="2"/>
  <c r="P250" i="2" s="1"/>
  <c r="Q250" i="2" s="1"/>
  <c r="H250" i="2"/>
  <c r="I250" i="2" s="1"/>
  <c r="D250" i="2"/>
  <c r="E250" i="2" s="1"/>
  <c r="O249" i="2"/>
  <c r="P249" i="2" s="1"/>
  <c r="F43" i="1" s="1"/>
  <c r="H249" i="2"/>
  <c r="D43" i="1" s="1"/>
  <c r="D249" i="2"/>
  <c r="C43" i="1" s="1"/>
  <c r="O247" i="2"/>
  <c r="P247" i="2" s="1"/>
  <c r="Q247" i="2" s="1"/>
  <c r="H247" i="2"/>
  <c r="I247" i="2" s="1"/>
  <c r="D247" i="2"/>
  <c r="E247" i="2" s="1"/>
  <c r="O246" i="2"/>
  <c r="P246" i="2" s="1"/>
  <c r="Q246" i="2" s="1"/>
  <c r="H246" i="2"/>
  <c r="I246" i="2" s="1"/>
  <c r="D246" i="2"/>
  <c r="E246" i="2" s="1"/>
  <c r="O245" i="2"/>
  <c r="P245" i="2" s="1"/>
  <c r="F41" i="1" s="1"/>
  <c r="H245" i="2"/>
  <c r="D41" i="1" s="1"/>
  <c r="D245" i="2"/>
  <c r="C41" i="1" s="1"/>
  <c r="O243" i="2"/>
  <c r="P243" i="2" s="1"/>
  <c r="Q243" i="2" s="1"/>
  <c r="H243" i="2"/>
  <c r="I243" i="2" s="1"/>
  <c r="D243" i="2"/>
  <c r="E243" i="2" s="1"/>
  <c r="O242" i="2"/>
  <c r="P242" i="2" s="1"/>
  <c r="Q242" i="2" s="1"/>
  <c r="H242" i="2"/>
  <c r="I242" i="2" s="1"/>
  <c r="D242" i="2"/>
  <c r="E242" i="2" s="1"/>
  <c r="H241" i="2"/>
  <c r="D39" i="1" s="1"/>
  <c r="G239" i="2"/>
  <c r="H239" i="2" s="1"/>
  <c r="I239" i="2" s="1"/>
  <c r="C239" i="2"/>
  <c r="D239" i="2" s="1"/>
  <c r="E239" i="2" s="1"/>
  <c r="G238" i="2"/>
  <c r="H238" i="2" s="1"/>
  <c r="I238" i="2" s="1"/>
  <c r="E37" i="1"/>
  <c r="G237" i="2"/>
  <c r="H237" i="2" s="1"/>
  <c r="D37" i="1" s="1"/>
  <c r="O236" i="2"/>
  <c r="P236" i="2" s="1"/>
  <c r="Q236" i="2" s="1"/>
  <c r="H236" i="2"/>
  <c r="I236" i="2" s="1"/>
  <c r="D236" i="2"/>
  <c r="E236" i="2" s="1"/>
  <c r="O235" i="2"/>
  <c r="P235" i="2" s="1"/>
  <c r="Q235" i="2" s="1"/>
  <c r="H235" i="2"/>
  <c r="I235" i="2" s="1"/>
  <c r="D235" i="2"/>
  <c r="E235" i="2" s="1"/>
  <c r="O234" i="2"/>
  <c r="P234" i="2" s="1"/>
  <c r="H234" i="2"/>
  <c r="D234" i="2"/>
  <c r="O233" i="2"/>
  <c r="P233" i="2" s="1"/>
  <c r="Q233" i="2" s="1"/>
  <c r="H233" i="2"/>
  <c r="I233" i="2" s="1"/>
  <c r="D233" i="2"/>
  <c r="E233" i="2" s="1"/>
  <c r="O232" i="2"/>
  <c r="P232" i="2" s="1"/>
  <c r="Q232" i="2" s="1"/>
  <c r="H232" i="2"/>
  <c r="I232" i="2" s="1"/>
  <c r="D232" i="2"/>
  <c r="E232" i="2" s="1"/>
  <c r="O231" i="2"/>
  <c r="P231" i="2" s="1"/>
  <c r="H231" i="2"/>
  <c r="D231" i="2"/>
  <c r="O230" i="2"/>
  <c r="P230" i="2" s="1"/>
  <c r="Q230" i="2" s="1"/>
  <c r="H230" i="2"/>
  <c r="I230" i="2" s="1"/>
  <c r="D230" i="2"/>
  <c r="E230" i="2" s="1"/>
  <c r="O229" i="2"/>
  <c r="P229" i="2" s="1"/>
  <c r="Q229" i="2" s="1"/>
  <c r="H229" i="2"/>
  <c r="I229" i="2" s="1"/>
  <c r="D229" i="2"/>
  <c r="E229" i="2" s="1"/>
  <c r="O228" i="2"/>
  <c r="P228" i="2" s="1"/>
  <c r="H228" i="2"/>
  <c r="D228" i="2"/>
  <c r="O227" i="2"/>
  <c r="P227" i="2" s="1"/>
  <c r="Q227" i="2" s="1"/>
  <c r="H227" i="2"/>
  <c r="I227" i="2" s="1"/>
  <c r="D227" i="2"/>
  <c r="E227" i="2" s="1"/>
  <c r="H226" i="2"/>
  <c r="I226" i="2" s="1"/>
  <c r="C238" i="2"/>
  <c r="H225" i="2"/>
  <c r="C237" i="2"/>
  <c r="O224" i="2"/>
  <c r="P224" i="2" s="1"/>
  <c r="Q224" i="2" s="1"/>
  <c r="H224" i="2"/>
  <c r="I224" i="2" s="1"/>
  <c r="D224" i="2"/>
  <c r="E224" i="2" s="1"/>
  <c r="O223" i="2"/>
  <c r="P223" i="2" s="1"/>
  <c r="Q223" i="2" s="1"/>
  <c r="H223" i="2"/>
  <c r="I223" i="2" s="1"/>
  <c r="D223" i="2"/>
  <c r="E223" i="2" s="1"/>
  <c r="H222" i="2"/>
  <c r="D222" i="2"/>
  <c r="O220" i="2"/>
  <c r="P220" i="2" s="1"/>
  <c r="Q220" i="2" s="1"/>
  <c r="H220" i="2"/>
  <c r="I220" i="2" s="1"/>
  <c r="D220" i="2"/>
  <c r="E220" i="2" s="1"/>
  <c r="O219" i="2"/>
  <c r="P219" i="2" s="1"/>
  <c r="Q219" i="2" s="1"/>
  <c r="H219" i="2"/>
  <c r="I219" i="2" s="1"/>
  <c r="D219" i="2"/>
  <c r="E219" i="2" s="1"/>
  <c r="E35" i="1"/>
  <c r="H218" i="2"/>
  <c r="D35" i="1" s="1"/>
  <c r="D218" i="2"/>
  <c r="C35" i="1" s="1"/>
  <c r="H216" i="2"/>
  <c r="I216" i="2" s="1"/>
  <c r="H215" i="2"/>
  <c r="I215" i="2" s="1"/>
  <c r="H213" i="2"/>
  <c r="D33" i="1" s="1"/>
  <c r="O212" i="2"/>
  <c r="P212" i="2" s="1"/>
  <c r="Q212" i="2" s="1"/>
  <c r="H212" i="2"/>
  <c r="I212" i="2" s="1"/>
  <c r="D212" i="2"/>
  <c r="E212" i="2" s="1"/>
  <c r="O211" i="2"/>
  <c r="P211" i="2" s="1"/>
  <c r="Q211" i="2" s="1"/>
  <c r="H211" i="2"/>
  <c r="I211" i="2" s="1"/>
  <c r="D211" i="2"/>
  <c r="E211" i="2" s="1"/>
  <c r="O210" i="2"/>
  <c r="P210" i="2" s="1"/>
  <c r="Q210" i="2" s="1"/>
  <c r="H210" i="2"/>
  <c r="I210" i="2" s="1"/>
  <c r="D210" i="2"/>
  <c r="E210" i="2" s="1"/>
  <c r="O209" i="2"/>
  <c r="P209" i="2" s="1"/>
  <c r="H209" i="2"/>
  <c r="D209" i="2"/>
  <c r="O204" i="2"/>
  <c r="P204" i="2" s="1"/>
  <c r="Q204" i="2" s="1"/>
  <c r="H204" i="2"/>
  <c r="I204" i="2" s="1"/>
  <c r="D204" i="2"/>
  <c r="E204" i="2" s="1"/>
  <c r="O203" i="2"/>
  <c r="P203" i="2" s="1"/>
  <c r="Q203" i="2" s="1"/>
  <c r="H203" i="2"/>
  <c r="I203" i="2" s="1"/>
  <c r="D203" i="2"/>
  <c r="E203" i="2" s="1"/>
  <c r="O202" i="2"/>
  <c r="P202" i="2" s="1"/>
  <c r="Q202" i="2" s="1"/>
  <c r="H202" i="2"/>
  <c r="I202" i="2" s="1"/>
  <c r="D202" i="2"/>
  <c r="E202" i="2" s="1"/>
  <c r="O201" i="2"/>
  <c r="P201" i="2" s="1"/>
  <c r="H201" i="2"/>
  <c r="D201" i="2"/>
  <c r="O200" i="2"/>
  <c r="P200" i="2" s="1"/>
  <c r="Q200" i="2" s="1"/>
  <c r="H200" i="2"/>
  <c r="I200" i="2" s="1"/>
  <c r="D200" i="2"/>
  <c r="E200" i="2" s="1"/>
  <c r="P199" i="2"/>
  <c r="Q199" i="2" s="1"/>
  <c r="H199" i="2"/>
  <c r="I199" i="2" s="1"/>
  <c r="D199" i="2"/>
  <c r="E199" i="2" s="1"/>
  <c r="O198" i="2"/>
  <c r="P198" i="2" s="1"/>
  <c r="Q198" i="2" s="1"/>
  <c r="H198" i="2"/>
  <c r="I198" i="2" s="1"/>
  <c r="D198" i="2"/>
  <c r="E198" i="2" s="1"/>
  <c r="O197" i="2"/>
  <c r="P197" i="2" s="1"/>
  <c r="H197" i="2"/>
  <c r="D197" i="2"/>
  <c r="O196" i="2"/>
  <c r="P196" i="2" s="1"/>
  <c r="Q196" i="2" s="1"/>
  <c r="H196" i="2"/>
  <c r="I196" i="2" s="1"/>
  <c r="D196" i="2"/>
  <c r="E196" i="2" s="1"/>
  <c r="O195" i="2"/>
  <c r="P195" i="2" s="1"/>
  <c r="Q195" i="2" s="1"/>
  <c r="H195" i="2"/>
  <c r="I195" i="2" s="1"/>
  <c r="D195" i="2"/>
  <c r="E195" i="2" s="1"/>
  <c r="O194" i="2"/>
  <c r="P194" i="2" s="1"/>
  <c r="Q194" i="2" s="1"/>
  <c r="H194" i="2"/>
  <c r="I194" i="2" s="1"/>
  <c r="D194" i="2"/>
  <c r="E194" i="2" s="1"/>
  <c r="O193" i="2"/>
  <c r="P193" i="2" s="1"/>
  <c r="H193" i="2"/>
  <c r="D193" i="2"/>
  <c r="O192" i="2"/>
  <c r="P192" i="2" s="1"/>
  <c r="Q192" i="2" s="1"/>
  <c r="H192" i="2"/>
  <c r="I192" i="2" s="1"/>
  <c r="D192" i="2"/>
  <c r="E192" i="2" s="1"/>
  <c r="O191" i="2"/>
  <c r="P191" i="2" s="1"/>
  <c r="Q191" i="2" s="1"/>
  <c r="H191" i="2"/>
  <c r="I191" i="2" s="1"/>
  <c r="D191" i="2"/>
  <c r="E191" i="2" s="1"/>
  <c r="O190" i="2"/>
  <c r="P190" i="2" s="1"/>
  <c r="Q190" i="2" s="1"/>
  <c r="H190" i="2"/>
  <c r="I190" i="2" s="1"/>
  <c r="D190" i="2"/>
  <c r="E190" i="2" s="1"/>
  <c r="O189" i="2"/>
  <c r="P189" i="2" s="1"/>
  <c r="H189" i="2"/>
  <c r="D189" i="2"/>
  <c r="O188" i="2"/>
  <c r="P188" i="2" s="1"/>
  <c r="Q188" i="2" s="1"/>
  <c r="H188" i="2"/>
  <c r="I188" i="2" s="1"/>
  <c r="D188" i="2"/>
  <c r="E188" i="2" s="1"/>
  <c r="O187" i="2"/>
  <c r="P187" i="2" s="1"/>
  <c r="Q187" i="2" s="1"/>
  <c r="H187" i="2"/>
  <c r="I187" i="2" s="1"/>
  <c r="D187" i="2"/>
  <c r="E187" i="2" s="1"/>
  <c r="O186" i="2"/>
  <c r="P186" i="2" s="1"/>
  <c r="Q186" i="2" s="1"/>
  <c r="H186" i="2"/>
  <c r="I186" i="2" s="1"/>
  <c r="D186" i="2"/>
  <c r="E186" i="2" s="1"/>
  <c r="O185" i="2"/>
  <c r="P185" i="2" s="1"/>
  <c r="H185" i="2"/>
  <c r="O183" i="2"/>
  <c r="P183" i="2" s="1"/>
  <c r="Q183" i="2" s="1"/>
  <c r="H183" i="2"/>
  <c r="I183" i="2" s="1"/>
  <c r="D183" i="2"/>
  <c r="E183" i="2" s="1"/>
  <c r="O182" i="2"/>
  <c r="P182" i="2" s="1"/>
  <c r="Q182" i="2" s="1"/>
  <c r="H182" i="2"/>
  <c r="I182" i="2" s="1"/>
  <c r="D182" i="2"/>
  <c r="E182" i="2" s="1"/>
  <c r="H181" i="2"/>
  <c r="D31" i="1" s="1"/>
  <c r="G179" i="2"/>
  <c r="H179" i="2" s="1"/>
  <c r="I179" i="2" s="1"/>
  <c r="C179" i="2"/>
  <c r="G178" i="2"/>
  <c r="H178" i="2" s="1"/>
  <c r="I178" i="2" s="1"/>
  <c r="C178" i="2"/>
  <c r="E29" i="1"/>
  <c r="G177" i="2"/>
  <c r="H177" i="2" s="1"/>
  <c r="D29" i="1" s="1"/>
  <c r="O176" i="2"/>
  <c r="P176" i="2" s="1"/>
  <c r="Q176" i="2" s="1"/>
  <c r="H176" i="2"/>
  <c r="I176" i="2" s="1"/>
  <c r="D176" i="2"/>
  <c r="E176" i="2" s="1"/>
  <c r="O175" i="2"/>
  <c r="P175" i="2" s="1"/>
  <c r="Q175" i="2" s="1"/>
  <c r="H175" i="2"/>
  <c r="I175" i="2" s="1"/>
  <c r="D175" i="2"/>
  <c r="E175" i="2" s="1"/>
  <c r="O174" i="2"/>
  <c r="P174" i="2" s="1"/>
  <c r="H174" i="2"/>
  <c r="D174" i="2"/>
  <c r="O173" i="2"/>
  <c r="P173" i="2" s="1"/>
  <c r="Q173" i="2" s="1"/>
  <c r="H173" i="2"/>
  <c r="I173" i="2" s="1"/>
  <c r="D173" i="2"/>
  <c r="E173" i="2" s="1"/>
  <c r="O172" i="2"/>
  <c r="P172" i="2" s="1"/>
  <c r="Q172" i="2" s="1"/>
  <c r="H172" i="2"/>
  <c r="I172" i="2" s="1"/>
  <c r="D172" i="2"/>
  <c r="E172" i="2" s="1"/>
  <c r="O171" i="2"/>
  <c r="P171" i="2" s="1"/>
  <c r="H171" i="2"/>
  <c r="D171" i="2"/>
  <c r="O170" i="2"/>
  <c r="P170" i="2" s="1"/>
  <c r="Q170" i="2" s="1"/>
  <c r="H170" i="2"/>
  <c r="I170" i="2" s="1"/>
  <c r="D170" i="2"/>
  <c r="E170" i="2" s="1"/>
  <c r="O169" i="2"/>
  <c r="P169" i="2" s="1"/>
  <c r="Q169" i="2" s="1"/>
  <c r="H169" i="2"/>
  <c r="I169" i="2" s="1"/>
  <c r="D169" i="2"/>
  <c r="E169" i="2" s="1"/>
  <c r="O168" i="2"/>
  <c r="P168" i="2" s="1"/>
  <c r="H168" i="2"/>
  <c r="D168" i="2"/>
  <c r="O167" i="2"/>
  <c r="P167" i="2" s="1"/>
  <c r="Q167" i="2" s="1"/>
  <c r="H167" i="2"/>
  <c r="I167" i="2" s="1"/>
  <c r="D167" i="2"/>
  <c r="E167" i="2" s="1"/>
  <c r="O166" i="2"/>
  <c r="P166" i="2" s="1"/>
  <c r="Q166" i="2" s="1"/>
  <c r="H166" i="2"/>
  <c r="I166" i="2" s="1"/>
  <c r="D166" i="2"/>
  <c r="E166" i="2" s="1"/>
  <c r="O165" i="2"/>
  <c r="P165" i="2" s="1"/>
  <c r="H165" i="2"/>
  <c r="D165" i="2"/>
  <c r="O164" i="2"/>
  <c r="P164" i="2" s="1"/>
  <c r="Q164" i="2" s="1"/>
  <c r="H164" i="2"/>
  <c r="I164" i="2" s="1"/>
  <c r="D164" i="2"/>
  <c r="E164" i="2" s="1"/>
  <c r="O163" i="2"/>
  <c r="P163" i="2" s="1"/>
  <c r="Q163" i="2" s="1"/>
  <c r="H163" i="2"/>
  <c r="I163" i="2" s="1"/>
  <c r="D163" i="2"/>
  <c r="E163" i="2" s="1"/>
  <c r="O162" i="2"/>
  <c r="P162" i="2" s="1"/>
  <c r="H162" i="2"/>
  <c r="D162" i="2"/>
  <c r="O161" i="2"/>
  <c r="P161" i="2" s="1"/>
  <c r="Q161" i="2" s="1"/>
  <c r="H161" i="2"/>
  <c r="I161" i="2" s="1"/>
  <c r="D161" i="2"/>
  <c r="E161" i="2" s="1"/>
  <c r="O160" i="2"/>
  <c r="P160" i="2" s="1"/>
  <c r="Q160" i="2" s="1"/>
  <c r="H160" i="2"/>
  <c r="I160" i="2" s="1"/>
  <c r="D160" i="2"/>
  <c r="E160" i="2" s="1"/>
  <c r="H159" i="2"/>
  <c r="C177" i="2"/>
  <c r="O157" i="2"/>
  <c r="P157" i="2" s="1"/>
  <c r="Q157" i="2" s="1"/>
  <c r="H157" i="2"/>
  <c r="I157" i="2" s="1"/>
  <c r="D157" i="2"/>
  <c r="E157" i="2" s="1"/>
  <c r="H156" i="2"/>
  <c r="I156" i="2" s="1"/>
  <c r="O156" i="2"/>
  <c r="P156" i="2" s="1"/>
  <c r="Q156" i="2" s="1"/>
  <c r="F28" i="1" s="1"/>
  <c r="O155" i="2"/>
  <c r="P155" i="2" s="1"/>
  <c r="F27" i="1" s="1"/>
  <c r="H155" i="2"/>
  <c r="D27" i="1" s="1"/>
  <c r="D155" i="2"/>
  <c r="C27" i="1" s="1"/>
  <c r="G153" i="2"/>
  <c r="H153" i="2" s="1"/>
  <c r="I153" i="2" s="1"/>
  <c r="G152" i="2"/>
  <c r="G151" i="2"/>
  <c r="H151" i="2" s="1"/>
  <c r="D25" i="1" s="1"/>
  <c r="O150" i="2"/>
  <c r="P150" i="2" s="1"/>
  <c r="Q150" i="2" s="1"/>
  <c r="H150" i="2"/>
  <c r="I150" i="2" s="1"/>
  <c r="D150" i="2"/>
  <c r="E150" i="2" s="1"/>
  <c r="O149" i="2"/>
  <c r="P149" i="2" s="1"/>
  <c r="Q149" i="2" s="1"/>
  <c r="H149" i="2"/>
  <c r="I149" i="2" s="1"/>
  <c r="D149" i="2"/>
  <c r="E149" i="2" s="1"/>
  <c r="O148" i="2"/>
  <c r="P148" i="2" s="1"/>
  <c r="H148" i="2"/>
  <c r="D148" i="2"/>
  <c r="H147" i="2"/>
  <c r="I147" i="2" s="1"/>
  <c r="C153" i="2"/>
  <c r="H146" i="2"/>
  <c r="I146" i="2" s="1"/>
  <c r="O146" i="2"/>
  <c r="P146" i="2" s="1"/>
  <c r="Q146" i="2" s="1"/>
  <c r="E25" i="1"/>
  <c r="H145" i="2"/>
  <c r="D145" i="2"/>
  <c r="O144" i="2"/>
  <c r="P144" i="2" s="1"/>
  <c r="Q144" i="2" s="1"/>
  <c r="H144" i="2"/>
  <c r="I144" i="2" s="1"/>
  <c r="D144" i="2"/>
  <c r="E144" i="2" s="1"/>
  <c r="O143" i="2"/>
  <c r="P143" i="2" s="1"/>
  <c r="Q143" i="2" s="1"/>
  <c r="H143" i="2"/>
  <c r="I143" i="2" s="1"/>
  <c r="D143" i="2"/>
  <c r="E143" i="2" s="1"/>
  <c r="O142" i="2"/>
  <c r="P142" i="2" s="1"/>
  <c r="H142" i="2"/>
  <c r="D142" i="2"/>
  <c r="O141" i="2"/>
  <c r="P141" i="2" s="1"/>
  <c r="Q141" i="2" s="1"/>
  <c r="H141" i="2"/>
  <c r="I141" i="2" s="1"/>
  <c r="D141" i="2"/>
  <c r="E141" i="2" s="1"/>
  <c r="O140" i="2"/>
  <c r="P140" i="2" s="1"/>
  <c r="Q140" i="2" s="1"/>
  <c r="H140" i="2"/>
  <c r="I140" i="2" s="1"/>
  <c r="D140" i="2"/>
  <c r="E140" i="2" s="1"/>
  <c r="O139" i="2"/>
  <c r="P139" i="2" s="1"/>
  <c r="H139" i="2"/>
  <c r="D139" i="2"/>
  <c r="O138" i="2"/>
  <c r="P138" i="2" s="1"/>
  <c r="Q138" i="2" s="1"/>
  <c r="H138" i="2"/>
  <c r="I138" i="2" s="1"/>
  <c r="D138" i="2"/>
  <c r="E138" i="2" s="1"/>
  <c r="O137" i="2"/>
  <c r="P137" i="2" s="1"/>
  <c r="Q137" i="2" s="1"/>
  <c r="H137" i="2"/>
  <c r="I137" i="2" s="1"/>
  <c r="D137" i="2"/>
  <c r="E137" i="2" s="1"/>
  <c r="O136" i="2"/>
  <c r="P136" i="2" s="1"/>
  <c r="H136" i="2"/>
  <c r="D136" i="2"/>
  <c r="O135" i="2"/>
  <c r="P135" i="2" s="1"/>
  <c r="Q135" i="2" s="1"/>
  <c r="H135" i="2"/>
  <c r="I135" i="2" s="1"/>
  <c r="D135" i="2"/>
  <c r="E135" i="2" s="1"/>
  <c r="O134" i="2"/>
  <c r="P134" i="2" s="1"/>
  <c r="Q134" i="2" s="1"/>
  <c r="H134" i="2"/>
  <c r="I134" i="2" s="1"/>
  <c r="D134" i="2"/>
  <c r="E134" i="2" s="1"/>
  <c r="O133" i="2"/>
  <c r="P133" i="2" s="1"/>
  <c r="H133" i="2"/>
  <c r="D133" i="2"/>
  <c r="O132" i="2"/>
  <c r="P132" i="2" s="1"/>
  <c r="Q132" i="2" s="1"/>
  <c r="H132" i="2"/>
  <c r="I132" i="2" s="1"/>
  <c r="D132" i="2"/>
  <c r="E132" i="2" s="1"/>
  <c r="O131" i="2"/>
  <c r="P131" i="2" s="1"/>
  <c r="Q131" i="2" s="1"/>
  <c r="H131" i="2"/>
  <c r="I131" i="2" s="1"/>
  <c r="D131" i="2"/>
  <c r="E131" i="2" s="1"/>
  <c r="O130" i="2"/>
  <c r="P130" i="2" s="1"/>
  <c r="H130" i="2"/>
  <c r="D130" i="2"/>
  <c r="O129" i="2"/>
  <c r="P129" i="2" s="1"/>
  <c r="Q129" i="2" s="1"/>
  <c r="H129" i="2"/>
  <c r="I129" i="2" s="1"/>
  <c r="D129" i="2"/>
  <c r="E129" i="2" s="1"/>
  <c r="O128" i="2"/>
  <c r="P128" i="2" s="1"/>
  <c r="Q128" i="2" s="1"/>
  <c r="H128" i="2"/>
  <c r="I128" i="2" s="1"/>
  <c r="D128" i="2"/>
  <c r="E128" i="2" s="1"/>
  <c r="O127" i="2"/>
  <c r="P127" i="2" s="1"/>
  <c r="H127" i="2"/>
  <c r="D127" i="2"/>
  <c r="O126" i="2"/>
  <c r="P126" i="2" s="1"/>
  <c r="Q126" i="2" s="1"/>
  <c r="H126" i="2"/>
  <c r="I126" i="2" s="1"/>
  <c r="D126" i="2"/>
  <c r="E126" i="2" s="1"/>
  <c r="O125" i="2"/>
  <c r="P125" i="2" s="1"/>
  <c r="Q125" i="2" s="1"/>
  <c r="H125" i="2"/>
  <c r="I125" i="2" s="1"/>
  <c r="D125" i="2"/>
  <c r="E125" i="2" s="1"/>
  <c r="O124" i="2"/>
  <c r="P124" i="2" s="1"/>
  <c r="H124" i="2"/>
  <c r="D124" i="2"/>
  <c r="O123" i="2"/>
  <c r="P123" i="2" s="1"/>
  <c r="Q123" i="2" s="1"/>
  <c r="H123" i="2"/>
  <c r="I123" i="2" s="1"/>
  <c r="D123" i="2"/>
  <c r="E123" i="2" s="1"/>
  <c r="O122" i="2"/>
  <c r="P122" i="2" s="1"/>
  <c r="Q122" i="2" s="1"/>
  <c r="H122" i="2"/>
  <c r="I122" i="2" s="1"/>
  <c r="D122" i="2"/>
  <c r="E122" i="2" s="1"/>
  <c r="O121" i="2"/>
  <c r="P121" i="2" s="1"/>
  <c r="H121" i="2"/>
  <c r="D121" i="2"/>
  <c r="H119" i="2"/>
  <c r="I119" i="2" s="1"/>
  <c r="D119" i="2"/>
  <c r="E119" i="2" s="1"/>
  <c r="H118" i="2"/>
  <c r="I118" i="2" s="1"/>
  <c r="H117" i="2"/>
  <c r="D23" i="1" s="1"/>
  <c r="D117" i="2"/>
  <c r="C23" i="1" s="1"/>
  <c r="O117" i="2"/>
  <c r="P117" i="2" s="1"/>
  <c r="F23" i="1" s="1"/>
  <c r="O115" i="2"/>
  <c r="P115" i="2" s="1"/>
  <c r="Q115" i="2" s="1"/>
  <c r="H115" i="2"/>
  <c r="I115" i="2" s="1"/>
  <c r="D115" i="2"/>
  <c r="E115" i="2" s="1"/>
  <c r="H114" i="2"/>
  <c r="I114" i="2" s="1"/>
  <c r="D114" i="2"/>
  <c r="E114" i="2" s="1"/>
  <c r="E21" i="1"/>
  <c r="H113" i="2"/>
  <c r="D21" i="1" s="1"/>
  <c r="O113" i="2"/>
  <c r="P113" i="2" s="1"/>
  <c r="F21" i="1" s="1"/>
  <c r="H111" i="2"/>
  <c r="I111" i="2" s="1"/>
  <c r="D111" i="2"/>
  <c r="E111" i="2" s="1"/>
  <c r="H110" i="2"/>
  <c r="I110" i="2" s="1"/>
  <c r="H109" i="2"/>
  <c r="D19" i="1" s="1"/>
  <c r="D109" i="2"/>
  <c r="C19" i="1" s="1"/>
  <c r="O108" i="2"/>
  <c r="P108" i="2" s="1"/>
  <c r="Q108" i="2" s="1"/>
  <c r="H108" i="2"/>
  <c r="I108" i="2" s="1"/>
  <c r="D108" i="2"/>
  <c r="E108" i="2" s="1"/>
  <c r="H107" i="2"/>
  <c r="I107" i="2" s="1"/>
  <c r="O106" i="2"/>
  <c r="P106" i="2" s="1"/>
  <c r="H106" i="2"/>
  <c r="D106" i="2"/>
  <c r="O102" i="2"/>
  <c r="P102" i="2" s="1"/>
  <c r="Q102" i="2" s="1"/>
  <c r="H102" i="2"/>
  <c r="I102" i="2" s="1"/>
  <c r="D102" i="2"/>
  <c r="E102" i="2" s="1"/>
  <c r="O101" i="2"/>
  <c r="P101" i="2" s="1"/>
  <c r="Q101" i="2" s="1"/>
  <c r="H101" i="2"/>
  <c r="I101" i="2" s="1"/>
  <c r="D101" i="2"/>
  <c r="E101" i="2" s="1"/>
  <c r="O100" i="2"/>
  <c r="P100" i="2" s="1"/>
  <c r="H100" i="2"/>
  <c r="D100" i="2"/>
  <c r="O99" i="2"/>
  <c r="P99" i="2" s="1"/>
  <c r="Q99" i="2" s="1"/>
  <c r="H99" i="2"/>
  <c r="I99" i="2" s="1"/>
  <c r="D99" i="2"/>
  <c r="E99" i="2" s="1"/>
  <c r="O98" i="2"/>
  <c r="P98" i="2" s="1"/>
  <c r="Q98" i="2" s="1"/>
  <c r="H98" i="2"/>
  <c r="I98" i="2" s="1"/>
  <c r="D98" i="2"/>
  <c r="E98" i="2" s="1"/>
  <c r="O97" i="2"/>
  <c r="P97" i="2" s="1"/>
  <c r="H97" i="2"/>
  <c r="D97" i="2"/>
  <c r="G95" i="2"/>
  <c r="C95" i="2"/>
  <c r="G94" i="2"/>
  <c r="C94" i="2"/>
  <c r="E17" i="1"/>
  <c r="G93" i="2"/>
  <c r="C93" i="2"/>
  <c r="O92" i="2"/>
  <c r="P92" i="2" s="1"/>
  <c r="Q92" i="2" s="1"/>
  <c r="H92" i="2"/>
  <c r="I92" i="2" s="1"/>
  <c r="D92" i="2"/>
  <c r="E92" i="2" s="1"/>
  <c r="O91" i="2"/>
  <c r="P91" i="2" s="1"/>
  <c r="Q91" i="2" s="1"/>
  <c r="H91" i="2"/>
  <c r="I91" i="2" s="1"/>
  <c r="D91" i="2"/>
  <c r="E91" i="2" s="1"/>
  <c r="O90" i="2"/>
  <c r="P90" i="2" s="1"/>
  <c r="H90" i="2"/>
  <c r="D90" i="2"/>
  <c r="O89" i="2"/>
  <c r="P89" i="2" s="1"/>
  <c r="Q89" i="2" s="1"/>
  <c r="H89" i="2"/>
  <c r="I89" i="2" s="1"/>
  <c r="D89" i="2"/>
  <c r="E89" i="2" s="1"/>
  <c r="O88" i="2"/>
  <c r="P88" i="2" s="1"/>
  <c r="Q88" i="2" s="1"/>
  <c r="H88" i="2"/>
  <c r="I88" i="2" s="1"/>
  <c r="D88" i="2"/>
  <c r="E88" i="2" s="1"/>
  <c r="O87" i="2"/>
  <c r="P87" i="2" s="1"/>
  <c r="H87" i="2"/>
  <c r="D87" i="2"/>
  <c r="O86" i="2"/>
  <c r="P86" i="2" s="1"/>
  <c r="Q86" i="2" s="1"/>
  <c r="H86" i="2"/>
  <c r="I86" i="2" s="1"/>
  <c r="D86" i="2"/>
  <c r="E86" i="2" s="1"/>
  <c r="O85" i="2"/>
  <c r="P85" i="2" s="1"/>
  <c r="Q85" i="2" s="1"/>
  <c r="H85" i="2"/>
  <c r="I85" i="2" s="1"/>
  <c r="D85" i="2"/>
  <c r="E85" i="2" s="1"/>
  <c r="O84" i="2"/>
  <c r="P84" i="2" s="1"/>
  <c r="H84" i="2"/>
  <c r="D84" i="2"/>
  <c r="O83" i="2"/>
  <c r="P83" i="2" s="1"/>
  <c r="Q83" i="2" s="1"/>
  <c r="H83" i="2"/>
  <c r="I83" i="2" s="1"/>
  <c r="D83" i="2"/>
  <c r="E83" i="2" s="1"/>
  <c r="O82" i="2"/>
  <c r="P82" i="2" s="1"/>
  <c r="Q82" i="2" s="1"/>
  <c r="H82" i="2"/>
  <c r="I82" i="2" s="1"/>
  <c r="D82" i="2"/>
  <c r="E82" i="2" s="1"/>
  <c r="O81" i="2"/>
  <c r="P81" i="2" s="1"/>
  <c r="H81" i="2"/>
  <c r="D81" i="2"/>
  <c r="O80" i="2"/>
  <c r="P80" i="2" s="1"/>
  <c r="Q80" i="2" s="1"/>
  <c r="H80" i="2"/>
  <c r="I80" i="2" s="1"/>
  <c r="D80" i="2"/>
  <c r="E80" i="2" s="1"/>
  <c r="O79" i="2"/>
  <c r="P79" i="2" s="1"/>
  <c r="Q79" i="2" s="1"/>
  <c r="H79" i="2"/>
  <c r="I79" i="2" s="1"/>
  <c r="D79" i="2"/>
  <c r="E79" i="2" s="1"/>
  <c r="O78" i="2"/>
  <c r="P78" i="2" s="1"/>
  <c r="H78" i="2"/>
  <c r="D78" i="2"/>
  <c r="O77" i="2"/>
  <c r="P77" i="2" s="1"/>
  <c r="Q77" i="2" s="1"/>
  <c r="H77" i="2"/>
  <c r="I77" i="2" s="1"/>
  <c r="D77" i="2"/>
  <c r="E77" i="2" s="1"/>
  <c r="O76" i="2"/>
  <c r="P76" i="2" s="1"/>
  <c r="Q76" i="2" s="1"/>
  <c r="H76" i="2"/>
  <c r="I76" i="2" s="1"/>
  <c r="D76" i="2"/>
  <c r="E76" i="2" s="1"/>
  <c r="O75" i="2"/>
  <c r="P75" i="2" s="1"/>
  <c r="H75" i="2"/>
  <c r="D75" i="2"/>
  <c r="O74" i="2"/>
  <c r="P74" i="2" s="1"/>
  <c r="Q74" i="2" s="1"/>
  <c r="H74" i="2"/>
  <c r="I74" i="2" s="1"/>
  <c r="D74" i="2"/>
  <c r="E74" i="2" s="1"/>
  <c r="O73" i="2"/>
  <c r="P73" i="2" s="1"/>
  <c r="Q73" i="2" s="1"/>
  <c r="H73" i="2"/>
  <c r="I73" i="2" s="1"/>
  <c r="D73" i="2"/>
  <c r="E73" i="2" s="1"/>
  <c r="O72" i="2"/>
  <c r="P72" i="2" s="1"/>
  <c r="H72" i="2"/>
  <c r="D72" i="2"/>
  <c r="O71" i="2"/>
  <c r="P71" i="2" s="1"/>
  <c r="Q71" i="2" s="1"/>
  <c r="H71" i="2"/>
  <c r="I71" i="2" s="1"/>
  <c r="D71" i="2"/>
  <c r="E71" i="2" s="1"/>
  <c r="O70" i="2"/>
  <c r="P70" i="2" s="1"/>
  <c r="Q70" i="2" s="1"/>
  <c r="H70" i="2"/>
  <c r="I70" i="2" s="1"/>
  <c r="D70" i="2"/>
  <c r="E70" i="2" s="1"/>
  <c r="O69" i="2"/>
  <c r="P69" i="2" s="1"/>
  <c r="H69" i="2"/>
  <c r="D69" i="2"/>
  <c r="O68" i="2"/>
  <c r="P68" i="2" s="1"/>
  <c r="Q68" i="2" s="1"/>
  <c r="H68" i="2"/>
  <c r="I68" i="2" s="1"/>
  <c r="D68" i="2"/>
  <c r="E68" i="2" s="1"/>
  <c r="O67" i="2"/>
  <c r="P67" i="2" s="1"/>
  <c r="Q67" i="2" s="1"/>
  <c r="H67" i="2"/>
  <c r="I67" i="2" s="1"/>
  <c r="D67" i="2"/>
  <c r="E67" i="2" s="1"/>
  <c r="O66" i="2"/>
  <c r="P66" i="2" s="1"/>
  <c r="H66" i="2"/>
  <c r="D66" i="2"/>
  <c r="O65" i="2"/>
  <c r="P65" i="2" s="1"/>
  <c r="Q65" i="2" s="1"/>
  <c r="H65" i="2"/>
  <c r="I65" i="2" s="1"/>
  <c r="D65" i="2"/>
  <c r="E65" i="2" s="1"/>
  <c r="O64" i="2"/>
  <c r="P64" i="2" s="1"/>
  <c r="Q64" i="2" s="1"/>
  <c r="H64" i="2"/>
  <c r="I64" i="2" s="1"/>
  <c r="D64" i="2"/>
  <c r="E64" i="2" s="1"/>
  <c r="O63" i="2"/>
  <c r="P63" i="2" s="1"/>
  <c r="H63" i="2"/>
  <c r="D63" i="2"/>
  <c r="O62" i="2"/>
  <c r="P62" i="2" s="1"/>
  <c r="Q62" i="2" s="1"/>
  <c r="H62" i="2"/>
  <c r="I62" i="2" s="1"/>
  <c r="D62" i="2"/>
  <c r="E62" i="2" s="1"/>
  <c r="O61" i="2"/>
  <c r="P61" i="2" s="1"/>
  <c r="Q61" i="2" s="1"/>
  <c r="H61" i="2"/>
  <c r="I61" i="2" s="1"/>
  <c r="D61" i="2"/>
  <c r="E61" i="2" s="1"/>
  <c r="O60" i="2"/>
  <c r="P60" i="2" s="1"/>
  <c r="H60" i="2"/>
  <c r="D60" i="2"/>
  <c r="O58" i="2"/>
  <c r="P58" i="2" s="1"/>
  <c r="Q58" i="2" s="1"/>
  <c r="H58" i="2"/>
  <c r="I58" i="2" s="1"/>
  <c r="D58" i="2"/>
  <c r="E58" i="2" s="1"/>
  <c r="O57" i="2"/>
  <c r="P57" i="2" s="1"/>
  <c r="Q57" i="2" s="1"/>
  <c r="H57" i="2"/>
  <c r="I57" i="2" s="1"/>
  <c r="D57" i="2"/>
  <c r="E57" i="2" s="1"/>
  <c r="E15" i="1"/>
  <c r="H56" i="2"/>
  <c r="D15" i="1" s="1"/>
  <c r="O56" i="2"/>
  <c r="P56" i="2" s="1"/>
  <c r="F15" i="1" s="1"/>
  <c r="O54" i="2"/>
  <c r="P54" i="2" s="1"/>
  <c r="Q54" i="2" s="1"/>
  <c r="H54" i="2"/>
  <c r="I54" i="2" s="1"/>
  <c r="D54" i="2"/>
  <c r="E54" i="2" s="1"/>
  <c r="H53" i="2"/>
  <c r="I53" i="2" s="1"/>
  <c r="D53" i="2"/>
  <c r="E53" i="2" s="1"/>
  <c r="E13" i="1"/>
  <c r="H52" i="2"/>
  <c r="D13" i="1" s="1"/>
  <c r="D52" i="2"/>
  <c r="C13" i="1" s="1"/>
  <c r="O50" i="2"/>
  <c r="P50" i="2" s="1"/>
  <c r="Q50" i="2" s="1"/>
  <c r="H50" i="2"/>
  <c r="I50" i="2" s="1"/>
  <c r="D50" i="2"/>
  <c r="E50" i="2" s="1"/>
  <c r="O49" i="2"/>
  <c r="P49" i="2" s="1"/>
  <c r="Q49" i="2" s="1"/>
  <c r="H49" i="2"/>
  <c r="I49" i="2" s="1"/>
  <c r="D49" i="2"/>
  <c r="E49" i="2" s="1"/>
  <c r="P48" i="2"/>
  <c r="F11" i="1" s="1"/>
  <c r="E11" i="1"/>
  <c r="H48" i="2"/>
  <c r="D11" i="1" s="1"/>
  <c r="D48" i="2"/>
  <c r="C11" i="1" s="1"/>
  <c r="O19" i="2"/>
  <c r="P19" i="2" s="1"/>
  <c r="Q19" i="2" s="1"/>
  <c r="H19" i="2"/>
  <c r="I19" i="2" s="1"/>
  <c r="D19" i="2"/>
  <c r="E19" i="2" s="1"/>
  <c r="O18" i="2"/>
  <c r="P18" i="2" s="1"/>
  <c r="Q18" i="2" s="1"/>
  <c r="H18" i="2"/>
  <c r="I18" i="2" s="1"/>
  <c r="D18" i="2"/>
  <c r="E18" i="2" s="1"/>
  <c r="O17" i="2"/>
  <c r="P17" i="2" s="1"/>
  <c r="F9" i="1" s="1"/>
  <c r="E9" i="1"/>
  <c r="H17" i="2"/>
  <c r="D9" i="1" s="1"/>
  <c r="D17" i="2"/>
  <c r="C9" i="1" s="1"/>
  <c r="E7" i="1"/>
  <c r="C7" i="1"/>
  <c r="O7" i="2"/>
  <c r="H7" i="2"/>
  <c r="D7" i="2"/>
  <c r="O6" i="2"/>
  <c r="P6" i="2" s="1"/>
  <c r="H6" i="2"/>
  <c r="D6" i="2"/>
  <c r="E6" i="2" s="1"/>
  <c r="E3" i="1"/>
  <c r="E60" i="1"/>
  <c r="E59" i="1"/>
  <c r="E55" i="1"/>
  <c r="E53" i="1"/>
  <c r="E52" i="1"/>
  <c r="E51" i="1"/>
  <c r="E49" i="1"/>
  <c r="E47" i="1"/>
  <c r="E46" i="1"/>
  <c r="E45" i="1"/>
  <c r="E44" i="1"/>
  <c r="E43" i="1"/>
  <c r="E42" i="1"/>
  <c r="E41" i="1"/>
  <c r="E40" i="1"/>
  <c r="E39" i="1"/>
  <c r="E36" i="1"/>
  <c r="E33" i="1"/>
  <c r="E32" i="1"/>
  <c r="E31" i="1"/>
  <c r="E30" i="1"/>
  <c r="E27" i="1"/>
  <c r="E23" i="1"/>
  <c r="E19" i="1"/>
  <c r="E28" i="3" l="1"/>
  <c r="E42" i="3"/>
  <c r="C42" i="1"/>
  <c r="F16" i="1"/>
  <c r="C32" i="1"/>
  <c r="C36" i="1"/>
  <c r="F40" i="1"/>
  <c r="D42" i="1"/>
  <c r="E279" i="2"/>
  <c r="F54" i="1"/>
  <c r="D60" i="1"/>
  <c r="H109" i="4"/>
  <c r="D19" i="3" s="1"/>
  <c r="A110" i="4"/>
  <c r="D30" i="1"/>
  <c r="H152" i="2"/>
  <c r="I152" i="2" s="1"/>
  <c r="D26" i="1" s="1"/>
  <c r="A152" i="2"/>
  <c r="D12" i="1"/>
  <c r="D32" i="1"/>
  <c r="F36" i="1"/>
  <c r="C40" i="1"/>
  <c r="F44" i="1"/>
  <c r="F48" i="1"/>
  <c r="E14" i="3"/>
  <c r="E32" i="3"/>
  <c r="E44" i="3"/>
  <c r="F44" i="3"/>
  <c r="F58" i="3"/>
  <c r="F12" i="1"/>
  <c r="D14" i="1"/>
  <c r="D16" i="1"/>
  <c r="D24" i="1"/>
  <c r="F32" i="1"/>
  <c r="F52" i="1"/>
  <c r="C60" i="1"/>
  <c r="F10" i="1"/>
  <c r="C12" i="1"/>
  <c r="F42" i="1"/>
  <c r="F60" i="1"/>
  <c r="N100" i="4"/>
  <c r="C24" i="3"/>
  <c r="F274" i="4"/>
  <c r="F32" i="3"/>
  <c r="F42" i="3"/>
  <c r="F48" i="3"/>
  <c r="D28" i="1"/>
  <c r="E48" i="3"/>
  <c r="C22" i="1"/>
  <c r="C44" i="1"/>
  <c r="C50" i="3"/>
  <c r="D48" i="3"/>
  <c r="E26" i="3"/>
  <c r="E293" i="4"/>
  <c r="C56" i="3"/>
  <c r="O278" i="4"/>
  <c r="L279" i="4"/>
  <c r="F284" i="4"/>
  <c r="D28" i="3"/>
  <c r="D46" i="3"/>
  <c r="D293" i="4"/>
  <c r="D10" i="1"/>
  <c r="J81" i="2"/>
  <c r="D22" i="1"/>
  <c r="D40" i="1"/>
  <c r="D20" i="1"/>
  <c r="C16" i="1"/>
  <c r="D36" i="1"/>
  <c r="D44" i="1"/>
  <c r="D48" i="1"/>
  <c r="C52" i="1"/>
  <c r="D38" i="1"/>
  <c r="D46" i="1"/>
  <c r="D52" i="1"/>
  <c r="C48" i="1"/>
  <c r="C14" i="1"/>
  <c r="C46" i="1"/>
  <c r="C10" i="1"/>
  <c r="D16" i="3"/>
  <c r="C44" i="3"/>
  <c r="F13" i="4"/>
  <c r="F218" i="4"/>
  <c r="C36" i="3"/>
  <c r="N90" i="4"/>
  <c r="J124" i="4"/>
  <c r="F197" i="4"/>
  <c r="N253" i="4"/>
  <c r="D10" i="3"/>
  <c r="J17" i="4"/>
  <c r="P267" i="4"/>
  <c r="P278" i="4" s="1"/>
  <c r="O179" i="4"/>
  <c r="P179" i="4" s="1"/>
  <c r="Q179" i="4" s="1"/>
  <c r="J218" i="4"/>
  <c r="D42" i="3"/>
  <c r="F253" i="4"/>
  <c r="N270" i="4"/>
  <c r="D8" i="3"/>
  <c r="F209" i="4"/>
  <c r="R257" i="2"/>
  <c r="H279" i="2"/>
  <c r="D278" i="2"/>
  <c r="J274" i="2"/>
  <c r="E20" i="1"/>
  <c r="O279" i="2"/>
  <c r="D295" i="2"/>
  <c r="I296" i="2"/>
  <c r="H297" i="2"/>
  <c r="R56" i="4"/>
  <c r="N218" i="4"/>
  <c r="N181" i="4"/>
  <c r="E30" i="3"/>
  <c r="K262" i="4"/>
  <c r="K296" i="4" s="1"/>
  <c r="N151" i="4"/>
  <c r="E25" i="3"/>
  <c r="N63" i="4"/>
  <c r="R249" i="2"/>
  <c r="E38" i="1"/>
  <c r="J181" i="2"/>
  <c r="O93" i="2"/>
  <c r="P93" i="2" s="1"/>
  <c r="F17" i="1" s="1"/>
  <c r="O278" i="2"/>
  <c r="E28" i="1"/>
  <c r="R136" i="2"/>
  <c r="J245" i="4"/>
  <c r="J231" i="4"/>
  <c r="N189" i="4"/>
  <c r="N209" i="4"/>
  <c r="J159" i="4"/>
  <c r="F171" i="4"/>
  <c r="N155" i="4"/>
  <c r="N148" i="4"/>
  <c r="N133" i="4"/>
  <c r="F133" i="4"/>
  <c r="F142" i="4"/>
  <c r="F100" i="4"/>
  <c r="N72" i="4"/>
  <c r="N75" i="4"/>
  <c r="J60" i="4"/>
  <c r="F72" i="4"/>
  <c r="F84" i="4"/>
  <c r="L6" i="4"/>
  <c r="M6" i="4" s="1"/>
  <c r="C10" i="3"/>
  <c r="J72" i="4"/>
  <c r="R84" i="4"/>
  <c r="R87" i="4"/>
  <c r="F90" i="4"/>
  <c r="F113" i="4"/>
  <c r="F136" i="4"/>
  <c r="J56" i="4"/>
  <c r="R60" i="4"/>
  <c r="F66" i="4"/>
  <c r="N69" i="4"/>
  <c r="J78" i="4"/>
  <c r="N81" i="4"/>
  <c r="N87" i="4"/>
  <c r="N197" i="4"/>
  <c r="J13" i="4"/>
  <c r="C8" i="3"/>
  <c r="N52" i="4"/>
  <c r="R72" i="4"/>
  <c r="R75" i="4"/>
  <c r="J84" i="4"/>
  <c r="F103" i="4"/>
  <c r="N66" i="4"/>
  <c r="G263" i="4"/>
  <c r="G297" i="4" s="1"/>
  <c r="H95" i="4"/>
  <c r="I95" i="4" s="1"/>
  <c r="I263" i="4" s="1"/>
  <c r="N113" i="4"/>
  <c r="J113" i="4"/>
  <c r="R124" i="4"/>
  <c r="F127" i="4"/>
  <c r="F130" i="4"/>
  <c r="F139" i="4"/>
  <c r="J145" i="4"/>
  <c r="F162" i="4"/>
  <c r="N174" i="4"/>
  <c r="D30" i="3"/>
  <c r="N193" i="4"/>
  <c r="N234" i="4"/>
  <c r="D38" i="3"/>
  <c r="C42" i="3"/>
  <c r="I267" i="4"/>
  <c r="J266" i="4" s="1"/>
  <c r="M268" i="4"/>
  <c r="M279" i="4" s="1"/>
  <c r="M286" i="4"/>
  <c r="D24" i="3"/>
  <c r="N124" i="4"/>
  <c r="J136" i="4"/>
  <c r="N136" i="4"/>
  <c r="N145" i="4"/>
  <c r="D26" i="3"/>
  <c r="O153" i="4"/>
  <c r="P153" i="4" s="1"/>
  <c r="Q153" i="4" s="1"/>
  <c r="J168" i="4"/>
  <c r="F189" i="4"/>
  <c r="F193" i="4"/>
  <c r="N201" i="4"/>
  <c r="N241" i="4"/>
  <c r="L277" i="4"/>
  <c r="L278" i="4"/>
  <c r="D279" i="4"/>
  <c r="I292" i="4"/>
  <c r="J106" i="4"/>
  <c r="E24" i="3"/>
  <c r="N127" i="4"/>
  <c r="J139" i="4"/>
  <c r="F145" i="4"/>
  <c r="F148" i="4"/>
  <c r="N162" i="4"/>
  <c r="N165" i="4"/>
  <c r="J171" i="4"/>
  <c r="F174" i="4"/>
  <c r="F185" i="4"/>
  <c r="J193" i="4"/>
  <c r="F201" i="4"/>
  <c r="I214" i="4"/>
  <c r="I261" i="4" s="1"/>
  <c r="I295" i="4" s="1"/>
  <c r="C38" i="3"/>
  <c r="L226" i="4"/>
  <c r="M226" i="4" s="1"/>
  <c r="N225" i="4" s="1"/>
  <c r="F234" i="4"/>
  <c r="F241" i="4"/>
  <c r="R253" i="4"/>
  <c r="I279" i="4"/>
  <c r="R270" i="4"/>
  <c r="J274" i="4"/>
  <c r="H291" i="4"/>
  <c r="N97" i="4"/>
  <c r="N103" i="4"/>
  <c r="R133" i="4"/>
  <c r="N142" i="4"/>
  <c r="J155" i="4"/>
  <c r="J241" i="4"/>
  <c r="E214" i="4"/>
  <c r="F213" i="4" s="1"/>
  <c r="D156" i="2"/>
  <c r="E156" i="2" s="1"/>
  <c r="C28" i="1" s="1"/>
  <c r="R231" i="2"/>
  <c r="D296" i="2"/>
  <c r="D297" i="2"/>
  <c r="G261" i="2"/>
  <c r="G299" i="2" s="1"/>
  <c r="H214" i="2"/>
  <c r="H261" i="2" s="1"/>
  <c r="H299" i="2" s="1"/>
  <c r="G260" i="2"/>
  <c r="G298" i="2" s="1"/>
  <c r="C261" i="2"/>
  <c r="C299" i="2" s="1"/>
  <c r="D214" i="2"/>
  <c r="J201" i="4"/>
  <c r="O216" i="4"/>
  <c r="P216" i="4" s="1"/>
  <c r="Q216" i="4" s="1"/>
  <c r="R189" i="4"/>
  <c r="R201" i="4"/>
  <c r="G262" i="4"/>
  <c r="G296" i="4" s="1"/>
  <c r="R193" i="4"/>
  <c r="J185" i="4"/>
  <c r="H213" i="4"/>
  <c r="D33" i="3" s="1"/>
  <c r="J185" i="2"/>
  <c r="O216" i="2"/>
  <c r="P216" i="2" s="1"/>
  <c r="Q216" i="2" s="1"/>
  <c r="G262" i="2"/>
  <c r="G300" i="2" s="1"/>
  <c r="P213" i="2"/>
  <c r="F33" i="1" s="1"/>
  <c r="D44" i="3"/>
  <c r="D55" i="3"/>
  <c r="H277" i="4"/>
  <c r="J257" i="4"/>
  <c r="F257" i="4"/>
  <c r="J117" i="4"/>
  <c r="E13" i="3"/>
  <c r="D14" i="3"/>
  <c r="J5" i="4"/>
  <c r="F106" i="4"/>
  <c r="R100" i="4"/>
  <c r="D20" i="3"/>
  <c r="J103" i="4"/>
  <c r="R103" i="4"/>
  <c r="F97" i="4"/>
  <c r="R97" i="4"/>
  <c r="J97" i="4"/>
  <c r="F155" i="4"/>
  <c r="J249" i="4"/>
  <c r="F249" i="4"/>
  <c r="R249" i="4"/>
  <c r="R245" i="4"/>
  <c r="R231" i="4"/>
  <c r="N228" i="4"/>
  <c r="J228" i="4"/>
  <c r="R228" i="4"/>
  <c r="F228" i="4"/>
  <c r="N222" i="4"/>
  <c r="J222" i="4"/>
  <c r="R222" i="4"/>
  <c r="J225" i="4"/>
  <c r="J237" i="4"/>
  <c r="J181" i="4"/>
  <c r="D32" i="3"/>
  <c r="J165" i="4"/>
  <c r="R165" i="4"/>
  <c r="F168" i="4"/>
  <c r="R174" i="4"/>
  <c r="J174" i="4"/>
  <c r="R162" i="4"/>
  <c r="J162" i="4"/>
  <c r="F159" i="4"/>
  <c r="G260" i="4"/>
  <c r="G294" i="4" s="1"/>
  <c r="O151" i="4"/>
  <c r="P151" i="4" s="1"/>
  <c r="F25" i="3" s="1"/>
  <c r="N139" i="4"/>
  <c r="R139" i="4"/>
  <c r="J127" i="4"/>
  <c r="O152" i="4"/>
  <c r="P152" i="4" s="1"/>
  <c r="Q152" i="4" s="1"/>
  <c r="J121" i="4"/>
  <c r="J151" i="4"/>
  <c r="F121" i="4"/>
  <c r="D151" i="4"/>
  <c r="C25" i="3" s="1"/>
  <c r="J81" i="4"/>
  <c r="F81" i="4"/>
  <c r="R81" i="4"/>
  <c r="J90" i="4"/>
  <c r="R90" i="4"/>
  <c r="J87" i="4"/>
  <c r="F87" i="4"/>
  <c r="N84" i="4"/>
  <c r="J75" i="4"/>
  <c r="F75" i="4"/>
  <c r="J69" i="4"/>
  <c r="R69" i="4"/>
  <c r="F69" i="4"/>
  <c r="J66" i="4"/>
  <c r="H94" i="4"/>
  <c r="I94" i="4" s="1"/>
  <c r="J63" i="4"/>
  <c r="F63" i="4"/>
  <c r="F60" i="4"/>
  <c r="P18" i="4"/>
  <c r="Q18" i="4" s="1"/>
  <c r="H295" i="2"/>
  <c r="H277" i="2"/>
  <c r="R13" i="4"/>
  <c r="R63" i="2"/>
  <c r="F100" i="2"/>
  <c r="E48" i="1"/>
  <c r="D146" i="2"/>
  <c r="E146" i="2" s="1"/>
  <c r="E26" i="1"/>
  <c r="R171" i="2"/>
  <c r="R139" i="2"/>
  <c r="J127" i="2"/>
  <c r="R78" i="2"/>
  <c r="H94" i="2"/>
  <c r="I94" i="2" s="1"/>
  <c r="R48" i="2"/>
  <c r="E14" i="1"/>
  <c r="R87" i="2"/>
  <c r="F97" i="2"/>
  <c r="E24" i="1"/>
  <c r="F127" i="2"/>
  <c r="R130" i="2"/>
  <c r="J133" i="2"/>
  <c r="F139" i="2"/>
  <c r="D147" i="2"/>
  <c r="E147" i="2" s="1"/>
  <c r="F148" i="2"/>
  <c r="R234" i="2"/>
  <c r="P286" i="2"/>
  <c r="P297" i="2" s="1"/>
  <c r="J97" i="2"/>
  <c r="F121" i="2"/>
  <c r="F174" i="2"/>
  <c r="R189" i="2"/>
  <c r="J245" i="2"/>
  <c r="J292" i="2"/>
  <c r="C260" i="2"/>
  <c r="J48" i="2"/>
  <c r="J69" i="2"/>
  <c r="G263" i="2"/>
  <c r="G301" i="2" s="1"/>
  <c r="O118" i="2"/>
  <c r="P118" i="2" s="1"/>
  <c r="Q118" i="2" s="1"/>
  <c r="F136" i="2"/>
  <c r="P267" i="2"/>
  <c r="P278" i="2" s="1"/>
  <c r="F274" i="2"/>
  <c r="R60" i="2"/>
  <c r="F133" i="2"/>
  <c r="J139" i="2"/>
  <c r="R142" i="2"/>
  <c r="R185" i="2"/>
  <c r="O215" i="2"/>
  <c r="P215" i="2" s="1"/>
  <c r="Q215" i="2" s="1"/>
  <c r="J231" i="2"/>
  <c r="O241" i="2"/>
  <c r="P241" i="2" s="1"/>
  <c r="R245" i="2"/>
  <c r="F257" i="2"/>
  <c r="J109" i="2"/>
  <c r="E22" i="1"/>
  <c r="J72" i="2"/>
  <c r="J90" i="2"/>
  <c r="J117" i="2"/>
  <c r="J63" i="2"/>
  <c r="J87" i="2"/>
  <c r="F90" i="2"/>
  <c r="R97" i="2"/>
  <c r="J142" i="2"/>
  <c r="F48" i="2"/>
  <c r="O52" i="2"/>
  <c r="P52" i="2" s="1"/>
  <c r="F13" i="1" s="1"/>
  <c r="F72" i="2"/>
  <c r="F81" i="2"/>
  <c r="R121" i="2"/>
  <c r="R127" i="2"/>
  <c r="J130" i="2"/>
  <c r="R197" i="2"/>
  <c r="O5" i="2"/>
  <c r="P5" i="2" s="1"/>
  <c r="F3" i="1" s="1"/>
  <c r="I6" i="2"/>
  <c r="E8" i="1"/>
  <c r="O53" i="2"/>
  <c r="P53" i="2" s="1"/>
  <c r="Q53" i="2" s="1"/>
  <c r="F14" i="1" s="1"/>
  <c r="F60" i="2"/>
  <c r="R66" i="2"/>
  <c r="R69" i="2"/>
  <c r="P109" i="2"/>
  <c r="F19" i="1" s="1"/>
  <c r="R124" i="2"/>
  <c r="J52" i="2"/>
  <c r="R56" i="2"/>
  <c r="J60" i="2"/>
  <c r="F63" i="2"/>
  <c r="F66" i="2"/>
  <c r="F69" i="2"/>
  <c r="F75" i="2"/>
  <c r="F78" i="2"/>
  <c r="F84" i="2"/>
  <c r="F87" i="2"/>
  <c r="D113" i="2"/>
  <c r="C21" i="1" s="1"/>
  <c r="D118" i="2"/>
  <c r="E118" i="2" s="1"/>
  <c r="C24" i="1" s="1"/>
  <c r="J124" i="2"/>
  <c r="F130" i="2"/>
  <c r="F142" i="2"/>
  <c r="F270" i="2"/>
  <c r="R133" i="2"/>
  <c r="J136" i="2"/>
  <c r="O145" i="2"/>
  <c r="P145" i="2" s="1"/>
  <c r="J145" i="2"/>
  <c r="J148" i="2"/>
  <c r="C152" i="2"/>
  <c r="O152" i="2" s="1"/>
  <c r="P152" i="2" s="1"/>
  <c r="Q152" i="2" s="1"/>
  <c r="F171" i="2"/>
  <c r="J174" i="2"/>
  <c r="J189" i="2"/>
  <c r="J222" i="2"/>
  <c r="D225" i="2"/>
  <c r="O226" i="2"/>
  <c r="P226" i="2" s="1"/>
  <c r="Q226" i="2" s="1"/>
  <c r="J234" i="2"/>
  <c r="D241" i="2"/>
  <c r="C39" i="1" s="1"/>
  <c r="F249" i="2"/>
  <c r="O254" i="2"/>
  <c r="P254" i="2" s="1"/>
  <c r="Q254" i="2" s="1"/>
  <c r="J257" i="2"/>
  <c r="O266" i="2"/>
  <c r="I278" i="2"/>
  <c r="O284" i="2"/>
  <c r="R148" i="2"/>
  <c r="O151" i="2"/>
  <c r="P151" i="2" s="1"/>
  <c r="F25" i="1" s="1"/>
  <c r="R165" i="2"/>
  <c r="J171" i="2"/>
  <c r="J177" i="2"/>
  <c r="J197" i="2"/>
  <c r="F201" i="2"/>
  <c r="J225" i="2"/>
  <c r="D226" i="2"/>
  <c r="E226" i="2" s="1"/>
  <c r="J241" i="2"/>
  <c r="J249" i="2"/>
  <c r="J253" i="2"/>
  <c r="O255" i="2"/>
  <c r="P255" i="2" s="1"/>
  <c r="Q255" i="2" s="1"/>
  <c r="D266" i="2"/>
  <c r="O270" i="2"/>
  <c r="P270" i="2" s="1"/>
  <c r="D279" i="2"/>
  <c r="I286" i="2"/>
  <c r="D56" i="1" s="1"/>
  <c r="F292" i="2"/>
  <c r="R155" i="2"/>
  <c r="J159" i="2"/>
  <c r="R168" i="2"/>
  <c r="J209" i="2"/>
  <c r="J228" i="2"/>
  <c r="O239" i="2"/>
  <c r="P239" i="2" s="1"/>
  <c r="Q239" i="2" s="1"/>
  <c r="E267" i="2"/>
  <c r="C50" i="1" s="1"/>
  <c r="O274" i="2"/>
  <c r="P274" i="2" s="1"/>
  <c r="O292" i="2"/>
  <c r="P292" i="2" s="1"/>
  <c r="J165" i="2"/>
  <c r="R193" i="2"/>
  <c r="F218" i="2"/>
  <c r="O225" i="2"/>
  <c r="P225" i="2" s="1"/>
  <c r="F231" i="2"/>
  <c r="F234" i="2"/>
  <c r="F245" i="2"/>
  <c r="H278" i="2"/>
  <c r="J270" i="2"/>
  <c r="E285" i="2"/>
  <c r="R17" i="2"/>
  <c r="J113" i="2"/>
  <c r="F17" i="2"/>
  <c r="R72" i="2"/>
  <c r="J75" i="2"/>
  <c r="R81" i="2"/>
  <c r="J84" i="2"/>
  <c r="J17" i="2"/>
  <c r="E12" i="1"/>
  <c r="F52" i="2"/>
  <c r="E10" i="1"/>
  <c r="J56" i="2"/>
  <c r="E18" i="1"/>
  <c r="E16" i="1"/>
  <c r="R75" i="2"/>
  <c r="R84" i="2"/>
  <c r="R100" i="2"/>
  <c r="J78" i="2"/>
  <c r="R90" i="2"/>
  <c r="O94" i="2"/>
  <c r="P94" i="2" s="1"/>
  <c r="Q94" i="2" s="1"/>
  <c r="D94" i="2"/>
  <c r="E94" i="2" s="1"/>
  <c r="J106" i="2"/>
  <c r="O107" i="2"/>
  <c r="P107" i="2" s="1"/>
  <c r="Q107" i="2" s="1"/>
  <c r="R106" i="2" s="1"/>
  <c r="F124" i="2"/>
  <c r="J155" i="2"/>
  <c r="J162" i="2"/>
  <c r="R162" i="2"/>
  <c r="E7" i="2"/>
  <c r="C4" i="1" s="1"/>
  <c r="D56" i="2"/>
  <c r="C15" i="1" s="1"/>
  <c r="D93" i="2"/>
  <c r="C17" i="1" s="1"/>
  <c r="H95" i="2"/>
  <c r="I95" i="2" s="1"/>
  <c r="J100" i="2"/>
  <c r="D107" i="2"/>
  <c r="E107" i="2" s="1"/>
  <c r="F106" i="2" s="1"/>
  <c r="O114" i="2"/>
  <c r="P114" i="2" s="1"/>
  <c r="Q114" i="2" s="1"/>
  <c r="O119" i="2"/>
  <c r="P119" i="2" s="1"/>
  <c r="Q119" i="2" s="1"/>
  <c r="J121" i="2"/>
  <c r="O153" i="2"/>
  <c r="P153" i="2" s="1"/>
  <c r="Q153" i="2" s="1"/>
  <c r="D153" i="2"/>
  <c r="E153" i="2" s="1"/>
  <c r="F162" i="2"/>
  <c r="J168" i="2"/>
  <c r="F168" i="2"/>
  <c r="O177" i="2"/>
  <c r="P177" i="2" s="1"/>
  <c r="F29" i="1" s="1"/>
  <c r="D177" i="2"/>
  <c r="C29" i="1" s="1"/>
  <c r="Q6" i="2"/>
  <c r="I7" i="2"/>
  <c r="P7" i="2"/>
  <c r="J66" i="2"/>
  <c r="H93" i="2"/>
  <c r="C263" i="2"/>
  <c r="C301" i="2" s="1"/>
  <c r="O95" i="2"/>
  <c r="P95" i="2" s="1"/>
  <c r="Q95" i="2" s="1"/>
  <c r="D95" i="2"/>
  <c r="E95" i="2" s="1"/>
  <c r="O111" i="2"/>
  <c r="P111" i="2" s="1"/>
  <c r="Q111" i="2" s="1"/>
  <c r="F165" i="2"/>
  <c r="D151" i="2"/>
  <c r="C25" i="1" s="1"/>
  <c r="D159" i="2"/>
  <c r="F159" i="2" s="1"/>
  <c r="D181" i="2"/>
  <c r="C31" i="1" s="1"/>
  <c r="O181" i="2"/>
  <c r="P181" i="2" s="1"/>
  <c r="F185" i="2"/>
  <c r="F193" i="2"/>
  <c r="R209" i="2"/>
  <c r="R222" i="2"/>
  <c r="R228" i="2"/>
  <c r="J237" i="2"/>
  <c r="O147" i="2"/>
  <c r="P147" i="2" s="1"/>
  <c r="Q147" i="2" s="1"/>
  <c r="R174" i="2"/>
  <c r="O179" i="2"/>
  <c r="P179" i="2" s="1"/>
  <c r="Q179" i="2" s="1"/>
  <c r="D179" i="2"/>
  <c r="E179" i="2" s="1"/>
  <c r="J193" i="2"/>
  <c r="J201" i="2"/>
  <c r="F209" i="2"/>
  <c r="J218" i="2"/>
  <c r="F222" i="2"/>
  <c r="F228" i="2"/>
  <c r="F253" i="2"/>
  <c r="O159" i="2"/>
  <c r="P159" i="2" s="1"/>
  <c r="R159" i="2" s="1"/>
  <c r="O178" i="2"/>
  <c r="P178" i="2" s="1"/>
  <c r="Q178" i="2" s="1"/>
  <c r="D178" i="2"/>
  <c r="E178" i="2" s="1"/>
  <c r="F189" i="2"/>
  <c r="F197" i="2"/>
  <c r="O237" i="2"/>
  <c r="P237" i="2" s="1"/>
  <c r="F37" i="1" s="1"/>
  <c r="D237" i="2"/>
  <c r="C37" i="1" s="1"/>
  <c r="R201" i="2"/>
  <c r="O238" i="2"/>
  <c r="P238" i="2" s="1"/>
  <c r="Q238" i="2" s="1"/>
  <c r="D238" i="2"/>
  <c r="E238" i="2" s="1"/>
  <c r="C38" i="1" s="1"/>
  <c r="E16" i="3"/>
  <c r="N56" i="4"/>
  <c r="R63" i="4"/>
  <c r="R66" i="4"/>
  <c r="R127" i="4"/>
  <c r="R130" i="4"/>
  <c r="O218" i="2"/>
  <c r="P218" i="2" s="1"/>
  <c r="I268" i="2"/>
  <c r="J266" i="2" s="1"/>
  <c r="P268" i="2"/>
  <c r="E286" i="2"/>
  <c r="C295" i="2"/>
  <c r="H296" i="2"/>
  <c r="K260" i="4"/>
  <c r="K294" i="4" s="1"/>
  <c r="L5" i="4"/>
  <c r="C4" i="3"/>
  <c r="J52" i="4"/>
  <c r="C14" i="3"/>
  <c r="F52" i="4"/>
  <c r="F56" i="4"/>
  <c r="C16" i="3"/>
  <c r="N60" i="4"/>
  <c r="O296" i="2"/>
  <c r="P285" i="2"/>
  <c r="E10" i="3"/>
  <c r="N17" i="4"/>
  <c r="O214" i="2"/>
  <c r="D215" i="2"/>
  <c r="E215" i="2" s="1"/>
  <c r="D216" i="2"/>
  <c r="E216" i="2" s="1"/>
  <c r="E8" i="3"/>
  <c r="F78" i="4"/>
  <c r="R142" i="4"/>
  <c r="R148" i="4"/>
  <c r="C26" i="3"/>
  <c r="D4" i="3"/>
  <c r="O6" i="4"/>
  <c r="O93" i="4"/>
  <c r="P93" i="4" s="1"/>
  <c r="F17" i="3" s="1"/>
  <c r="D93" i="4"/>
  <c r="J109" i="4"/>
  <c r="O110" i="4"/>
  <c r="P110" i="4" s="1"/>
  <c r="Q110" i="4" s="1"/>
  <c r="D110" i="4"/>
  <c r="E110" i="4" s="1"/>
  <c r="O113" i="4"/>
  <c r="P113" i="4" s="1"/>
  <c r="J130" i="4"/>
  <c r="R136" i="4"/>
  <c r="J148" i="4"/>
  <c r="N159" i="4"/>
  <c r="R171" i="4"/>
  <c r="N185" i="4"/>
  <c r="R185" i="4"/>
  <c r="N13" i="4"/>
  <c r="O53" i="4"/>
  <c r="P53" i="4" s="1"/>
  <c r="Q53" i="4" s="1"/>
  <c r="O79" i="4"/>
  <c r="P79" i="4" s="1"/>
  <c r="Q79" i="4" s="1"/>
  <c r="R78" i="4" s="1"/>
  <c r="C94" i="4"/>
  <c r="O118" i="4"/>
  <c r="P118" i="4" s="1"/>
  <c r="Q118" i="4" s="1"/>
  <c r="R155" i="4"/>
  <c r="N171" i="4"/>
  <c r="J177" i="4"/>
  <c r="C263" i="4"/>
  <c r="C297" i="4" s="1"/>
  <c r="O95" i="4"/>
  <c r="P95" i="4" s="1"/>
  <c r="Q95" i="4" s="1"/>
  <c r="D95" i="4"/>
  <c r="E95" i="4" s="1"/>
  <c r="O109" i="4"/>
  <c r="P109" i="4" s="1"/>
  <c r="F19" i="3" s="1"/>
  <c r="D109" i="4"/>
  <c r="N117" i="4"/>
  <c r="D13" i="3"/>
  <c r="Q7" i="4"/>
  <c r="H93" i="4"/>
  <c r="L95" i="4"/>
  <c r="M95" i="4" s="1"/>
  <c r="E18" i="3" s="1"/>
  <c r="J100" i="4"/>
  <c r="D111" i="4"/>
  <c r="E111" i="4" s="1"/>
  <c r="D117" i="4"/>
  <c r="R121" i="4"/>
  <c r="F124" i="4"/>
  <c r="J133" i="4"/>
  <c r="J142" i="4"/>
  <c r="N177" i="4"/>
  <c r="F165" i="4"/>
  <c r="R168" i="4"/>
  <c r="N168" i="4"/>
  <c r="O177" i="4"/>
  <c r="P177" i="4" s="1"/>
  <c r="F29" i="3" s="1"/>
  <c r="O145" i="4"/>
  <c r="P145" i="4" s="1"/>
  <c r="R145" i="4" s="1"/>
  <c r="O181" i="4"/>
  <c r="P181" i="4" s="1"/>
  <c r="J197" i="4"/>
  <c r="J209" i="4"/>
  <c r="L238" i="4"/>
  <c r="M238" i="4" s="1"/>
  <c r="E38" i="3" s="1"/>
  <c r="O238" i="4"/>
  <c r="P238" i="4" s="1"/>
  <c r="Q238" i="4" s="1"/>
  <c r="N231" i="4"/>
  <c r="R234" i="4"/>
  <c r="C178" i="4"/>
  <c r="K261" i="4"/>
  <c r="K295" i="4" s="1"/>
  <c r="L214" i="4"/>
  <c r="C237" i="4"/>
  <c r="C260" i="4" s="1"/>
  <c r="D225" i="4"/>
  <c r="F225" i="4" s="1"/>
  <c r="O225" i="4"/>
  <c r="P225" i="4" s="1"/>
  <c r="F231" i="4"/>
  <c r="O160" i="4"/>
  <c r="P160" i="4" s="1"/>
  <c r="Q160" i="4" s="1"/>
  <c r="R159" i="4" s="1"/>
  <c r="D177" i="4"/>
  <c r="D179" i="4"/>
  <c r="E179" i="4" s="1"/>
  <c r="D182" i="4"/>
  <c r="E182" i="4" s="1"/>
  <c r="C32" i="3" s="1"/>
  <c r="J189" i="4"/>
  <c r="R197" i="4"/>
  <c r="R209" i="4"/>
  <c r="P214" i="4"/>
  <c r="O215" i="4"/>
  <c r="P215" i="4" s="1"/>
  <c r="Q215" i="4" s="1"/>
  <c r="R218" i="4"/>
  <c r="F222" i="4"/>
  <c r="O226" i="4"/>
  <c r="P226" i="4" s="1"/>
  <c r="Q226" i="4" s="1"/>
  <c r="F245" i="4"/>
  <c r="N249" i="4"/>
  <c r="N257" i="4"/>
  <c r="J270" i="4"/>
  <c r="E279" i="4"/>
  <c r="R274" i="4"/>
  <c r="E292" i="4"/>
  <c r="M293" i="4"/>
  <c r="R241" i="4"/>
  <c r="Q268" i="4"/>
  <c r="Q279" i="4" s="1"/>
  <c r="P279" i="4"/>
  <c r="P293" i="4"/>
  <c r="Q286" i="4"/>
  <c r="Q293" i="4" s="1"/>
  <c r="O239" i="4"/>
  <c r="P239" i="4" s="1"/>
  <c r="Q239" i="4" s="1"/>
  <c r="R257" i="4"/>
  <c r="O277" i="4"/>
  <c r="P266" i="4"/>
  <c r="F49" i="3" s="1"/>
  <c r="N245" i="4"/>
  <c r="J253" i="4"/>
  <c r="F266" i="4"/>
  <c r="F270" i="4"/>
  <c r="N274" i="4"/>
  <c r="Q285" i="4"/>
  <c r="P292" i="4"/>
  <c r="C277" i="4"/>
  <c r="H279" i="4"/>
  <c r="J284" i="4"/>
  <c r="O284" i="4"/>
  <c r="M285" i="4"/>
  <c r="H292" i="4"/>
  <c r="H293" i="4"/>
  <c r="D277" i="4"/>
  <c r="D278" i="4"/>
  <c r="O279" i="4"/>
  <c r="D291" i="4"/>
  <c r="D292" i="4"/>
  <c r="O292" i="4"/>
  <c r="O293" i="4"/>
  <c r="L284" i="4"/>
  <c r="M267" i="4"/>
  <c r="J291" i="4" l="1"/>
  <c r="Q267" i="4"/>
  <c r="Q278" i="4" s="1"/>
  <c r="J151" i="2"/>
  <c r="Q267" i="2"/>
  <c r="Q278" i="2" s="1"/>
  <c r="F26" i="3"/>
  <c r="I297" i="4"/>
  <c r="F38" i="1"/>
  <c r="F46" i="1"/>
  <c r="R218" i="2"/>
  <c r="F35" i="1"/>
  <c r="R274" i="2"/>
  <c r="F53" i="1"/>
  <c r="F26" i="1"/>
  <c r="R113" i="2"/>
  <c r="F22" i="1"/>
  <c r="F24" i="1"/>
  <c r="F30" i="1"/>
  <c r="R270" i="2"/>
  <c r="F51" i="1"/>
  <c r="R241" i="2"/>
  <c r="F39" i="1"/>
  <c r="F38" i="3"/>
  <c r="R181" i="4"/>
  <c r="F31" i="3"/>
  <c r="R52" i="4"/>
  <c r="F14" i="3"/>
  <c r="F50" i="3"/>
  <c r="Q292" i="4"/>
  <c r="F56" i="3"/>
  <c r="R117" i="4"/>
  <c r="F24" i="3"/>
  <c r="R113" i="4"/>
  <c r="F21" i="3"/>
  <c r="R17" i="4"/>
  <c r="F10" i="3"/>
  <c r="R181" i="2"/>
  <c r="F31" i="1"/>
  <c r="R292" i="2"/>
  <c r="F59" i="1"/>
  <c r="F18" i="1"/>
  <c r="C30" i="1"/>
  <c r="C18" i="1"/>
  <c r="N266" i="4"/>
  <c r="H260" i="2"/>
  <c r="H298" i="2" s="1"/>
  <c r="D17" i="1"/>
  <c r="E296" i="2"/>
  <c r="C56" i="1"/>
  <c r="D18" i="1"/>
  <c r="D50" i="1"/>
  <c r="D4" i="1"/>
  <c r="D277" i="2"/>
  <c r="C49" i="1"/>
  <c r="R225" i="2"/>
  <c r="F151" i="4"/>
  <c r="D18" i="3"/>
  <c r="F155" i="2"/>
  <c r="H262" i="2"/>
  <c r="H300" i="2" s="1"/>
  <c r="Q286" i="2"/>
  <c r="Q297" i="2" s="1"/>
  <c r="D152" i="2"/>
  <c r="E152" i="2" s="1"/>
  <c r="F151" i="2" s="1"/>
  <c r="F145" i="2"/>
  <c r="J5" i="2"/>
  <c r="N237" i="4"/>
  <c r="H262" i="4"/>
  <c r="H296" i="4" s="1"/>
  <c r="C262" i="2"/>
  <c r="C300" i="2" s="1"/>
  <c r="R151" i="4"/>
  <c r="H263" i="4"/>
  <c r="H297" i="4" s="1"/>
  <c r="I262" i="4"/>
  <c r="F277" i="4"/>
  <c r="L262" i="4"/>
  <c r="L296" i="4" s="1"/>
  <c r="D34" i="3"/>
  <c r="C294" i="4"/>
  <c r="I278" i="4"/>
  <c r="J277" i="4" s="1"/>
  <c r="D50" i="3"/>
  <c r="E261" i="4"/>
  <c r="E295" i="4" s="1"/>
  <c r="C34" i="3"/>
  <c r="H260" i="4"/>
  <c r="H294" i="4" s="1"/>
  <c r="J213" i="4"/>
  <c r="I214" i="2"/>
  <c r="E263" i="4"/>
  <c r="E297" i="4" s="1"/>
  <c r="R52" i="2"/>
  <c r="R253" i="2"/>
  <c r="F5" i="2"/>
  <c r="I262" i="2"/>
  <c r="I300" i="2" s="1"/>
  <c r="R145" i="2"/>
  <c r="R151" i="2"/>
  <c r="C298" i="2"/>
  <c r="H263" i="2"/>
  <c r="H301" i="2" s="1"/>
  <c r="R117" i="2"/>
  <c r="F117" i="2"/>
  <c r="O295" i="2"/>
  <c r="P284" i="2"/>
  <c r="P266" i="2"/>
  <c r="O277" i="2"/>
  <c r="F241" i="2"/>
  <c r="E50" i="1"/>
  <c r="I297" i="2"/>
  <c r="J295" i="2" s="1"/>
  <c r="J284" i="2"/>
  <c r="F266" i="2"/>
  <c r="R237" i="2"/>
  <c r="D260" i="2"/>
  <c r="E278" i="2"/>
  <c r="F113" i="2"/>
  <c r="F225" i="2"/>
  <c r="O291" i="4"/>
  <c r="P284" i="4"/>
  <c r="F55" i="3" s="1"/>
  <c r="R225" i="4"/>
  <c r="O94" i="4"/>
  <c r="P94" i="4" s="1"/>
  <c r="Q94" i="4" s="1"/>
  <c r="D94" i="4"/>
  <c r="F3" i="3"/>
  <c r="C262" i="4"/>
  <c r="C296" i="4" s="1"/>
  <c r="N93" i="4"/>
  <c r="F181" i="2"/>
  <c r="J93" i="2"/>
  <c r="P263" i="2"/>
  <c r="Q7" i="2"/>
  <c r="Q263" i="2" s="1"/>
  <c r="F177" i="2"/>
  <c r="F93" i="2"/>
  <c r="E4" i="1"/>
  <c r="P260" i="2"/>
  <c r="F291" i="4"/>
  <c r="P277" i="4"/>
  <c r="R266" i="4"/>
  <c r="C29" i="3"/>
  <c r="O178" i="4"/>
  <c r="P178" i="4" s="1"/>
  <c r="Q178" i="4" s="1"/>
  <c r="D178" i="4"/>
  <c r="E178" i="4" s="1"/>
  <c r="C30" i="3" s="1"/>
  <c r="F117" i="4"/>
  <c r="C23" i="3"/>
  <c r="D263" i="4"/>
  <c r="D297" i="4" s="1"/>
  <c r="F181" i="4"/>
  <c r="C17" i="3"/>
  <c r="D261" i="2"/>
  <c r="D299" i="2" s="1"/>
  <c r="E214" i="2"/>
  <c r="C34" i="1" s="1"/>
  <c r="P296" i="2"/>
  <c r="Q285" i="2"/>
  <c r="F56" i="1" s="1"/>
  <c r="P279" i="2"/>
  <c r="Q268" i="2"/>
  <c r="Q279" i="2" s="1"/>
  <c r="F237" i="2"/>
  <c r="I263" i="2"/>
  <c r="R177" i="2"/>
  <c r="R93" i="2"/>
  <c r="E263" i="2"/>
  <c r="O260" i="2"/>
  <c r="M278" i="4"/>
  <c r="N277" i="4" s="1"/>
  <c r="E50" i="3"/>
  <c r="O237" i="4"/>
  <c r="P237" i="4" s="1"/>
  <c r="D237" i="4"/>
  <c r="J93" i="4"/>
  <c r="D17" i="3"/>
  <c r="M262" i="4"/>
  <c r="E4" i="3"/>
  <c r="C20" i="3"/>
  <c r="P6" i="4"/>
  <c r="E297" i="2"/>
  <c r="F284" i="2"/>
  <c r="I279" i="2"/>
  <c r="J277" i="2" s="1"/>
  <c r="F56" i="2"/>
  <c r="D263" i="2"/>
  <c r="D301" i="2" s="1"/>
  <c r="L291" i="4"/>
  <c r="N284" i="4"/>
  <c r="E55" i="3"/>
  <c r="M292" i="4"/>
  <c r="E56" i="3"/>
  <c r="P261" i="4"/>
  <c r="P295" i="4" s="1"/>
  <c r="Q214" i="4"/>
  <c r="F34" i="3" s="1"/>
  <c r="L261" i="4"/>
  <c r="L295" i="4" s="1"/>
  <c r="M214" i="4"/>
  <c r="F109" i="4"/>
  <c r="C19" i="3"/>
  <c r="O261" i="2"/>
  <c r="O299" i="2" s="1"/>
  <c r="P214" i="2"/>
  <c r="L260" i="4"/>
  <c r="N5" i="4"/>
  <c r="E3" i="3"/>
  <c r="E56" i="1"/>
  <c r="O263" i="2"/>
  <c r="O301" i="2" s="1"/>
  <c r="O110" i="2"/>
  <c r="D110" i="2"/>
  <c r="R277" i="4" l="1"/>
  <c r="D298" i="2"/>
  <c r="P277" i="2"/>
  <c r="R277" i="2" s="1"/>
  <c r="F49" i="1"/>
  <c r="F4" i="1"/>
  <c r="F50" i="1"/>
  <c r="P295" i="2"/>
  <c r="F55" i="1"/>
  <c r="R93" i="4"/>
  <c r="F18" i="3"/>
  <c r="R237" i="4"/>
  <c r="F37" i="3"/>
  <c r="R177" i="4"/>
  <c r="F30" i="3"/>
  <c r="F277" i="2"/>
  <c r="F295" i="2"/>
  <c r="I261" i="2"/>
  <c r="I299" i="2" s="1"/>
  <c r="D34" i="1"/>
  <c r="D61" i="1" s="1"/>
  <c r="C26" i="1"/>
  <c r="R5" i="2"/>
  <c r="D59" i="3"/>
  <c r="J260" i="4"/>
  <c r="I296" i="4"/>
  <c r="J294" i="4" s="1"/>
  <c r="F177" i="4"/>
  <c r="J213" i="2"/>
  <c r="F213" i="2"/>
  <c r="O262" i="4"/>
  <c r="O296" i="4" s="1"/>
  <c r="O298" i="2"/>
  <c r="I301" i="2"/>
  <c r="Q301" i="2"/>
  <c r="R266" i="2"/>
  <c r="E301" i="2"/>
  <c r="E110" i="2"/>
  <c r="C20" i="1" s="1"/>
  <c r="D262" i="2"/>
  <c r="D300" i="2" s="1"/>
  <c r="E94" i="4"/>
  <c r="D262" i="4"/>
  <c r="D296" i="4" s="1"/>
  <c r="P110" i="2"/>
  <c r="O262" i="2"/>
  <c r="O300" i="2" s="1"/>
  <c r="P261" i="2"/>
  <c r="P299" i="2" s="1"/>
  <c r="Q214" i="2"/>
  <c r="F34" i="1" s="1"/>
  <c r="N291" i="4"/>
  <c r="M296" i="4"/>
  <c r="P301" i="2"/>
  <c r="F237" i="4"/>
  <c r="C37" i="3"/>
  <c r="E261" i="2"/>
  <c r="L294" i="4"/>
  <c r="Q296" i="2"/>
  <c r="R284" i="2"/>
  <c r="E34" i="1"/>
  <c r="E61" i="1" s="1"/>
  <c r="P260" i="4"/>
  <c r="M261" i="4"/>
  <c r="M295" i="4" s="1"/>
  <c r="E34" i="3"/>
  <c r="N213" i="4"/>
  <c r="Q261" i="4"/>
  <c r="Q295" i="4" s="1"/>
  <c r="R213" i="4"/>
  <c r="P262" i="4"/>
  <c r="P296" i="4" s="1"/>
  <c r="Q6" i="4"/>
  <c r="O260" i="4"/>
  <c r="O294" i="4" s="1"/>
  <c r="P291" i="4"/>
  <c r="R291" i="4" s="1"/>
  <c r="R284" i="4"/>
  <c r="D260" i="4"/>
  <c r="P298" i="2" l="1"/>
  <c r="R295" i="2"/>
  <c r="Q262" i="4"/>
  <c r="Q296" i="4" s="1"/>
  <c r="F4" i="3"/>
  <c r="J298" i="2"/>
  <c r="J260" i="2"/>
  <c r="C18" i="3"/>
  <c r="E262" i="4"/>
  <c r="E296" i="4" s="1"/>
  <c r="F93" i="4"/>
  <c r="P294" i="4"/>
  <c r="D294" i="4"/>
  <c r="Q110" i="2"/>
  <c r="P262" i="2"/>
  <c r="P300" i="2" s="1"/>
  <c r="E299" i="2"/>
  <c r="Q261" i="2"/>
  <c r="R213" i="2"/>
  <c r="R5" i="4"/>
  <c r="F109" i="2"/>
  <c r="E262" i="2"/>
  <c r="E300" i="2" s="1"/>
  <c r="R109" i="2" l="1"/>
  <c r="F20" i="1"/>
  <c r="Q299" i="2"/>
  <c r="C61" i="1"/>
  <c r="F260" i="2"/>
  <c r="F260" i="4"/>
  <c r="F298" i="2"/>
  <c r="F294" i="4"/>
  <c r="Q262" i="2"/>
  <c r="Q300" i="2" s="1"/>
  <c r="C59" i="3"/>
  <c r="R260" i="2" l="1"/>
  <c r="F61" i="1"/>
  <c r="R298" i="2"/>
  <c r="L108" i="4"/>
  <c r="M108" i="4" s="1"/>
  <c r="N106" i="4" s="1"/>
  <c r="O108" i="4"/>
  <c r="P108" i="4" s="1"/>
  <c r="Q108" i="4" s="1"/>
  <c r="R106" i="4" s="1"/>
  <c r="K111" i="4"/>
  <c r="K263" i="4" s="1"/>
  <c r="K297" i="4" s="1"/>
  <c r="L111" i="4" l="1"/>
  <c r="L263" i="4" s="1"/>
  <c r="L297" i="4" s="1"/>
  <c r="O111" i="4"/>
  <c r="P111" i="4" s="1"/>
  <c r="P263" i="4" s="1"/>
  <c r="P297" i="4" s="1"/>
  <c r="M111" i="4" l="1"/>
  <c r="N109" i="4" s="1"/>
  <c r="Q111" i="4"/>
  <c r="F20" i="3" s="1"/>
  <c r="O263" i="4"/>
  <c r="O297" i="4" s="1"/>
  <c r="E20" i="3" l="1"/>
  <c r="E59" i="3" s="1"/>
  <c r="F59" i="3" s="1"/>
  <c r="M263" i="4"/>
  <c r="M297" i="4" s="1"/>
  <c r="N294" i="4" s="1"/>
  <c r="Q263" i="4"/>
  <c r="R260" i="4" s="1"/>
  <c r="R109" i="4"/>
  <c r="N260" i="4" l="1"/>
  <c r="Q297" i="4"/>
  <c r="R294" i="4" s="1"/>
</calcChain>
</file>

<file path=xl/comments1.xml><?xml version="1.0" encoding="utf-8"?>
<comments xmlns="http://schemas.openxmlformats.org/spreadsheetml/2006/main">
  <authors>
    <author>cc</author>
  </authors>
  <commentList>
    <comment ref="K209" authorId="0" shapeId="0">
      <text>
        <r>
          <rPr>
            <b/>
            <sz val="9"/>
            <color indexed="81"/>
            <rFont val="Tahoma"/>
            <family val="2"/>
          </rPr>
          <t>cc:</t>
        </r>
        <r>
          <rPr>
            <sz val="9"/>
            <color indexed="81"/>
            <rFont val="Tahoma"/>
            <family val="2"/>
          </rPr>
          <t xml:space="preserve">
ภาคหลักสูตรและการสอน
ภาคศึกษาศาสตร์</t>
        </r>
      </text>
    </comment>
  </commentList>
</comments>
</file>

<file path=xl/comments2.xml><?xml version="1.0" encoding="utf-8"?>
<comments xmlns="http://schemas.openxmlformats.org/spreadsheetml/2006/main">
  <authors>
    <author>cc</author>
  </authors>
  <commentList>
    <comment ref="K209" authorId="0" shapeId="0">
      <text>
        <r>
          <rPr>
            <b/>
            <sz val="9"/>
            <color indexed="81"/>
            <rFont val="Tahoma"/>
            <family val="2"/>
          </rPr>
          <t>cc:</t>
        </r>
        <r>
          <rPr>
            <sz val="9"/>
            <color indexed="81"/>
            <rFont val="Tahoma"/>
            <family val="2"/>
          </rPr>
          <t xml:space="preserve">
หลักสูตรและการสอน</t>
        </r>
      </text>
    </comment>
  </commentList>
</comments>
</file>

<file path=xl/sharedStrings.xml><?xml version="1.0" encoding="utf-8"?>
<sst xmlns="http://schemas.openxmlformats.org/spreadsheetml/2006/main" count="1135" uniqueCount="120">
  <si>
    <t>คณะ/วิทยาลัย</t>
  </si>
  <si>
    <t>รวม 3 เทอม</t>
  </si>
  <si>
    <t>คณะการจัดการและการท่องเที่ยว</t>
  </si>
  <si>
    <t>ปริญญาตรี</t>
  </si>
  <si>
    <t>บัณฑิตศึกษา</t>
  </si>
  <si>
    <t>คณะการแพทย์แผนไทยอภัยภูเบศร</t>
  </si>
  <si>
    <t>คณะพยาบาลศาสตร์</t>
  </si>
  <si>
    <t>คณะแพทยศาสตร์</t>
  </si>
  <si>
    <t>คณะภูมิสารสนเทศศาสตร์</t>
  </si>
  <si>
    <t>คณะเภสัชศาสตร์</t>
  </si>
  <si>
    <t>คณะมนุษยศาสตร์และสังคมศาสตร์</t>
  </si>
  <si>
    <t>คณะรัฐศาสตร์และนิติศาสตร์</t>
  </si>
  <si>
    <t>คณะโลจิสติกส์</t>
  </si>
  <si>
    <t>คณะวิทยาการสารสนเทศ</t>
  </si>
  <si>
    <t>คณะวิทยาศาสตร์</t>
  </si>
  <si>
    <t>คณะวิทยาศาสตร์การกีฬา</t>
  </si>
  <si>
    <t>คณะวิศวกรรมศาสตร์</t>
  </si>
  <si>
    <t>คณะศิลปกรรมศาสตร์</t>
  </si>
  <si>
    <t>คณะศึกษาศาสตร์</t>
  </si>
  <si>
    <t>คณะสหเวชศาสตร์</t>
  </si>
  <si>
    <t>คณะสาธารณสุขศาสตร์</t>
  </si>
  <si>
    <t>วิทยาลัยนานาชาติ</t>
  </si>
  <si>
    <t>วิทยาลัยการบริหารรัฐกิจ</t>
  </si>
  <si>
    <t>วิทยาลัยพาณิชยศาสตร์</t>
  </si>
  <si>
    <t>วิทยาลัยวิทยาการวิจัยและวิทยาการปัญญา</t>
  </si>
  <si>
    <t>สถาบันภาษา</t>
  </si>
  <si>
    <t>คณะเทคโนโลยีทางทะเล</t>
  </si>
  <si>
    <t>คณะวิทยาศาสตร์และศิลปศาสตร์</t>
  </si>
  <si>
    <t>คณะอัญมณี</t>
  </si>
  <si>
    <t>คณะวิทยาศาสตร์และสังคมศาสตร์</t>
  </si>
  <si>
    <t>คณะเทคโนโลยีการเกษตร</t>
  </si>
  <si>
    <t>รวมทั้งมหาวิทยาลัย</t>
  </si>
  <si>
    <t>คณะ/ภาควิชา</t>
  </si>
  <si>
    <t>ระดับของวิชา</t>
  </si>
  <si>
    <t>SCH</t>
  </si>
  <si>
    <t>FTES</t>
  </si>
  <si>
    <t>FTES ปรับค่า</t>
  </si>
  <si>
    <t>FTES ปรับค่า +ป.ตรี</t>
  </si>
  <si>
    <t>SCH ทั้งปี</t>
  </si>
  <si>
    <t>FTES ทั้งปี</t>
  </si>
  <si>
    <t>FTES 
ทั้งปี
ปรับค่า</t>
  </si>
  <si>
    <t>สำนักงานจัดการศึกษา</t>
  </si>
  <si>
    <t>ปริญญาโท</t>
  </si>
  <si>
    <t>ปริญญาเอก</t>
  </si>
  <si>
    <t>-</t>
  </si>
  <si>
    <t>จิตวิทยา</t>
  </si>
  <si>
    <t>นิเทศศาสตร์</t>
  </si>
  <si>
    <t>ประวัติศาสตร์</t>
  </si>
  <si>
    <t>ภาษาตะวันตก</t>
  </si>
  <si>
    <t>ภาษาตะวันออก</t>
  </si>
  <si>
    <t>ภาษาไทย</t>
  </si>
  <si>
    <t>มนุษยศาสตร์และสังคมศาสตร์</t>
  </si>
  <si>
    <t>ศาสนาและปรัชญา</t>
  </si>
  <si>
    <t>เศรษฐศาสตร์</t>
  </si>
  <si>
    <t>สังคมวิทยา</t>
  </si>
  <si>
    <t>สารสนเทศศึกษา</t>
  </si>
  <si>
    <t>รวมทั้งคณะ</t>
  </si>
  <si>
    <t>นิติศาสตร์</t>
  </si>
  <si>
    <t>รัฐศาสตร์</t>
  </si>
  <si>
    <t>คณิตศาสตร์</t>
  </si>
  <si>
    <t>เคมี</t>
  </si>
  <si>
    <t>จุลชีววิทยา</t>
  </si>
  <si>
    <t>ชีวเคมี</t>
  </si>
  <si>
    <t>ชีววิทยา</t>
  </si>
  <si>
    <t>เทคโนโลยีชีวภาพ</t>
  </si>
  <si>
    <t>ฟิสิกส์</t>
  </si>
  <si>
    <t>วาริชศาสตร์</t>
  </si>
  <si>
    <t>วิทยาศาสตร์</t>
  </si>
  <si>
    <t>วิทยาศาสตร์การอาหาร</t>
  </si>
  <si>
    <t>วิศวกรรมศาสตร์</t>
  </si>
  <si>
    <t>วิศวกรรมเคมี</t>
  </si>
  <si>
    <t>วิศวกรรมเครื่องกล</t>
  </si>
  <si>
    <t>วิศวกรรมไฟฟ้า</t>
  </si>
  <si>
    <t>วิศวกรรมโยธา</t>
  </si>
  <si>
    <t>วิศวกรรมอุตสาหการ</t>
  </si>
  <si>
    <t>การจัดการเรียนรู้</t>
  </si>
  <si>
    <t>ป.บัณฑิต</t>
  </si>
  <si>
    <t>วิจัยและจิตวิทยาประยุกต์</t>
  </si>
  <si>
    <t>การอาชีวศึกษาและพัฒนาสังคม</t>
  </si>
  <si>
    <t>นวัตกรรมและเทคโนโลยีการศึกษา</t>
  </si>
  <si>
    <t>การพัฒนาทรัพยากรมนุษย์</t>
  </si>
  <si>
    <t>พื้นฐานสาธารณสุข</t>
  </si>
  <si>
    <t>สาธารณสุขศาสตร์</t>
  </si>
  <si>
    <t>สุขศาสตร์อุตสาหกรรมและความปลอดภัย</t>
  </si>
  <si>
    <t>สุขศึกษา</t>
  </si>
  <si>
    <t>อนามัยสิ่งแวดล้อม</t>
  </si>
  <si>
    <t>รวมทั้งวิทยาเขตบางแสน</t>
  </si>
  <si>
    <t>มหาวิทยาลัยบูรพาวิทยาเขตจันทบุรี</t>
  </si>
  <si>
    <t>รวมทั้งวิทยาเขตจันทบุรี</t>
  </si>
  <si>
    <t>มหาวิทยาลัยบูรพาวิทยาเขตสระแก้ว</t>
  </si>
  <si>
    <t>รวมทั้งวิทยาเขตสระแก้ว</t>
  </si>
  <si>
    <t>รวมทั้งวิทยามหาวิทยาลัย</t>
  </si>
  <si>
    <t>รัฐประศาสนศาสตร์</t>
  </si>
  <si>
    <t>เวชศาสตร์ชุมชนและเวชศาสตร์ครอบครัว</t>
  </si>
  <si>
    <t>สูตินรีเวชวิทยา</t>
  </si>
  <si>
    <t>อายุรศาสตร์</t>
  </si>
  <si>
    <t>ศัลยศาสตร์</t>
  </si>
  <si>
    <t>กุมารเวชศาสตร์</t>
  </si>
  <si>
    <t>จักษุ โสต นาสิก ลาริงซ์วิทยา</t>
  </si>
  <si>
    <t>รังสีวิทยาและเวชศาสตร์นิวเคลียร์</t>
  </si>
  <si>
    <t>คณะดนตรีและการแสดง</t>
  </si>
  <si>
    <t>โครงการจัดตั้งคณะพาณิชยศาสตร์และบริหารธุรกิจ</t>
  </si>
  <si>
    <t>ต้น 2558</t>
  </si>
  <si>
    <t>ปลาย 2558</t>
  </si>
  <si>
    <t>พยาธิวิทยาและนิติเวชศาสตร์</t>
  </si>
  <si>
    <t>1/58</t>
  </si>
  <si>
    <t>2/58</t>
  </si>
  <si>
    <t>รวมทั้งปีการศึกษา พ.ศ. 2558</t>
  </si>
  <si>
    <t>การบริหารการศึกษา</t>
  </si>
  <si>
    <t>บัณฑิตศึกษานานาชาติ</t>
  </si>
  <si>
    <t>การจ้ดการเรียนรู้</t>
  </si>
  <si>
    <t>สำนักงานการจัดการศึกษา</t>
  </si>
  <si>
    <t>บัณฑิตศึกษานานาชาติการพัฒนาทรัพยากรมนุษย์</t>
  </si>
  <si>
    <t>2558-1</t>
  </si>
  <si>
    <t>2558-2</t>
  </si>
  <si>
    <t>FTES ปีการศึกษา พ.ศ. 2558</t>
  </si>
  <si>
    <t>จำนวนนิสิตเต็มเวลา  ภาคปกติ  ปีการศึกษา 2558</t>
  </si>
  <si>
    <t>จำนวนนิสิตเต็มเวลา  ภาคพิเศษ  ปีการศึกษา 2558</t>
  </si>
  <si>
    <t>ฤดูร้อน 2558</t>
  </si>
  <si>
    <t>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</si>
</sst>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;;\-"/>
    <numFmt numFmtId="188" formatCode="#,##0.00;;\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ahoma"/>
      <family val="2"/>
    </font>
    <font>
      <sz val="14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indexed="64"/>
      </top>
      <bottom style="medium">
        <color rgb="FFC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rgb="FFC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medium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C00000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rgb="FFC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8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43" fontId="4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43" fontId="4" fillId="0" borderId="3" xfId="1" applyFont="1" applyBorder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0" fontId="5" fillId="0" borderId="0" xfId="0" applyFont="1"/>
    <xf numFmtId="0" fontId="6" fillId="0" borderId="0" xfId="0" applyFont="1"/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0" borderId="15" xfId="0" applyFont="1" applyBorder="1"/>
    <xf numFmtId="0" fontId="6" fillId="0" borderId="18" xfId="0" applyFont="1" applyBorder="1"/>
    <xf numFmtId="0" fontId="5" fillId="4" borderId="15" xfId="0" applyFont="1" applyFill="1" applyBorder="1" applyAlignment="1">
      <alignment horizontal="left"/>
    </xf>
    <xf numFmtId="0" fontId="5" fillId="4" borderId="15" xfId="0" applyFont="1" applyFill="1" applyBorder="1"/>
    <xf numFmtId="0" fontId="5" fillId="4" borderId="18" xfId="0" applyFont="1" applyFill="1" applyBorder="1"/>
    <xf numFmtId="0" fontId="5" fillId="5" borderId="21" xfId="0" applyFont="1" applyFill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6" borderId="21" xfId="0" applyFont="1" applyFill="1" applyBorder="1" applyAlignment="1">
      <alignment horizontal="left"/>
    </xf>
    <xf numFmtId="0" fontId="5" fillId="6" borderId="15" xfId="0" applyFont="1" applyFill="1" applyBorder="1"/>
    <xf numFmtId="0" fontId="5" fillId="6" borderId="18" xfId="0" applyFont="1" applyFill="1" applyBorder="1"/>
    <xf numFmtId="0" fontId="6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4" fillId="0" borderId="5" xfId="0" applyFont="1" applyBorder="1" applyAlignment="1"/>
    <xf numFmtId="0" fontId="5" fillId="0" borderId="27" xfId="0" applyNumberFormat="1" applyFont="1" applyBorder="1"/>
    <xf numFmtId="0" fontId="6" fillId="0" borderId="28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5" fillId="0" borderId="29" xfId="0" applyFont="1" applyBorder="1" applyAlignment="1">
      <alignment horizontal="left" indent="1"/>
    </xf>
    <xf numFmtId="0" fontId="5" fillId="0" borderId="29" xfId="0" applyNumberFormat="1" applyFont="1" applyBorder="1"/>
    <xf numFmtId="0" fontId="6" fillId="0" borderId="29" xfId="0" applyNumberFormat="1" applyFont="1" applyBorder="1"/>
    <xf numFmtId="0" fontId="5" fillId="0" borderId="28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6" fillId="0" borderId="29" xfId="0" applyFont="1" applyBorder="1"/>
    <xf numFmtId="0" fontId="5" fillId="4" borderId="28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5" borderId="29" xfId="0" applyNumberFormat="1" applyFont="1" applyFill="1" applyBorder="1"/>
    <xf numFmtId="0" fontId="5" fillId="0" borderId="28" xfId="0" applyNumberFormat="1" applyFont="1" applyBorder="1"/>
    <xf numFmtId="0" fontId="6" fillId="0" borderId="29" xfId="0" applyFont="1" applyBorder="1" applyAlignment="1">
      <alignment horizontal="left"/>
    </xf>
    <xf numFmtId="0" fontId="5" fillId="6" borderId="29" xfId="0" applyFont="1" applyFill="1" applyBorder="1" applyAlignment="1">
      <alignment horizontal="left"/>
    </xf>
    <xf numFmtId="0" fontId="5" fillId="6" borderId="28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5" fillId="0" borderId="35" xfId="0" applyFont="1" applyFill="1" applyBorder="1"/>
    <xf numFmtId="0" fontId="5" fillId="0" borderId="35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3" fillId="0" borderId="2" xfId="0" applyFont="1" applyBorder="1" applyAlignment="1">
      <alignment shrinkToFit="1"/>
    </xf>
    <xf numFmtId="0" fontId="5" fillId="0" borderId="15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5" xfId="0" applyFont="1" applyFill="1" applyBorder="1"/>
    <xf numFmtId="0" fontId="6" fillId="0" borderId="18" xfId="0" applyFont="1" applyFill="1" applyBorder="1"/>
    <xf numFmtId="0" fontId="5" fillId="0" borderId="2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5" xfId="0" applyFont="1" applyFill="1" applyBorder="1" applyAlignment="1"/>
    <xf numFmtId="0" fontId="6" fillId="0" borderId="18" xfId="0" applyFont="1" applyFill="1" applyBorder="1" applyAlignment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8" xfId="0" applyFont="1" applyFill="1" applyBorder="1"/>
    <xf numFmtId="0" fontId="6" fillId="0" borderId="21" xfId="0" applyFont="1" applyFill="1" applyBorder="1" applyAlignment="1">
      <alignment horizontal="left"/>
    </xf>
    <xf numFmtId="61" fontId="6" fillId="0" borderId="15" xfId="0" applyNumberFormat="1" applyFont="1" applyFill="1" applyBorder="1" applyAlignment="1"/>
    <xf numFmtId="61" fontId="6" fillId="0" borderId="15" xfId="0" applyNumberFormat="1" applyFont="1" applyFill="1" applyBorder="1"/>
    <xf numFmtId="61" fontId="6" fillId="0" borderId="15" xfId="0" applyNumberFormat="1" applyFont="1" applyFill="1" applyBorder="1" applyAlignment="1">
      <alignment horizontal="left"/>
    </xf>
    <xf numFmtId="61" fontId="6" fillId="0" borderId="15" xfId="0" applyNumberFormat="1" applyFont="1" applyBorder="1" applyAlignment="1">
      <alignment horizontal="left"/>
    </xf>
    <xf numFmtId="61" fontId="6" fillId="0" borderId="15" xfId="0" applyNumberFormat="1" applyFont="1" applyBorder="1"/>
    <xf numFmtId="0" fontId="5" fillId="0" borderId="21" xfId="0" applyFont="1" applyFill="1" applyBorder="1" applyAlignment="1">
      <alignment horizontal="left" shrinkToFit="1"/>
    </xf>
    <xf numFmtId="187" fontId="4" fillId="0" borderId="5" xfId="0" applyNumberFormat="1" applyFont="1" applyBorder="1" applyAlignment="1"/>
    <xf numFmtId="187" fontId="5" fillId="2" borderId="4" xfId="1" applyNumberFormat="1" applyFont="1" applyFill="1" applyBorder="1" applyAlignment="1">
      <alignment horizontal="center" vertical="center"/>
    </xf>
    <xf numFmtId="187" fontId="5" fillId="0" borderId="13" xfId="1" applyNumberFormat="1" applyFont="1" applyBorder="1" applyAlignment="1">
      <alignment horizontal="center"/>
    </xf>
    <xf numFmtId="187" fontId="6" fillId="0" borderId="15" xfId="1" applyNumberFormat="1" applyFont="1" applyBorder="1" applyAlignment="1">
      <alignment horizontal="center"/>
    </xf>
    <xf numFmtId="187" fontId="6" fillId="0" borderId="18" xfId="1" applyNumberFormat="1" applyFont="1" applyBorder="1" applyAlignment="1">
      <alignment horizontal="center"/>
    </xf>
    <xf numFmtId="187" fontId="5" fillId="0" borderId="32" xfId="1" applyNumberFormat="1" applyFont="1" applyBorder="1" applyAlignment="1">
      <alignment horizontal="center"/>
    </xf>
    <xf numFmtId="187" fontId="5" fillId="0" borderId="25" xfId="1" applyNumberFormat="1" applyFont="1" applyBorder="1" applyAlignment="1">
      <alignment horizontal="center"/>
    </xf>
    <xf numFmtId="187" fontId="6" fillId="0" borderId="19" xfId="1" applyNumberFormat="1" applyFont="1" applyBorder="1" applyAlignment="1">
      <alignment horizontal="center"/>
    </xf>
    <xf numFmtId="187" fontId="5" fillId="0" borderId="19" xfId="1" applyNumberFormat="1" applyFont="1" applyBorder="1" applyAlignment="1">
      <alignment horizontal="center"/>
    </xf>
    <xf numFmtId="187" fontId="5" fillId="4" borderId="16" xfId="0" applyNumberFormat="1" applyFont="1" applyFill="1" applyBorder="1" applyAlignment="1">
      <alignment horizontal="center"/>
    </xf>
    <xf numFmtId="187" fontId="5" fillId="4" borderId="16" xfId="1" applyNumberFormat="1" applyFont="1" applyFill="1" applyBorder="1" applyAlignment="1">
      <alignment horizontal="center"/>
    </xf>
    <xf numFmtId="187" fontId="5" fillId="4" borderId="19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0" xfId="1" applyNumberFormat="1" applyFont="1" applyFill="1" applyBorder="1" applyAlignment="1">
      <alignment horizontal="center"/>
    </xf>
    <xf numFmtId="187" fontId="6" fillId="5" borderId="22" xfId="0" applyNumberFormat="1" applyFont="1" applyFill="1" applyBorder="1" applyAlignment="1">
      <alignment horizontal="center"/>
    </xf>
    <xf numFmtId="187" fontId="5" fillId="6" borderId="22" xfId="0" applyNumberFormat="1" applyFont="1" applyFill="1" applyBorder="1" applyAlignment="1">
      <alignment horizontal="center"/>
    </xf>
    <xf numFmtId="187" fontId="5" fillId="6" borderId="16" xfId="0" applyNumberFormat="1" applyFont="1" applyFill="1" applyBorder="1" applyAlignment="1">
      <alignment horizontal="center"/>
    </xf>
    <xf numFmtId="187" fontId="5" fillId="6" borderId="16" xfId="1" applyNumberFormat="1" applyFont="1" applyFill="1" applyBorder="1" applyAlignment="1">
      <alignment horizontal="center"/>
    </xf>
    <xf numFmtId="187" fontId="5" fillId="6" borderId="19" xfId="1" applyNumberFormat="1" applyFont="1" applyFill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187" fontId="5" fillId="2" borderId="30" xfId="1" applyNumberFormat="1" applyFont="1" applyFill="1" applyBorder="1" applyAlignment="1">
      <alignment horizontal="center" vertical="center"/>
    </xf>
    <xf numFmtId="187" fontId="5" fillId="0" borderId="31" xfId="1" applyNumberFormat="1" applyFont="1" applyBorder="1" applyAlignment="1">
      <alignment horizontal="center"/>
    </xf>
    <xf numFmtId="187" fontId="6" fillId="0" borderId="32" xfId="1" applyNumberFormat="1" applyFont="1" applyBorder="1" applyAlignment="1">
      <alignment horizontal="center"/>
    </xf>
    <xf numFmtId="187" fontId="6" fillId="0" borderId="25" xfId="1" applyNumberFormat="1" applyFont="1" applyBorder="1" applyAlignment="1">
      <alignment horizontal="center"/>
    </xf>
    <xf numFmtId="187" fontId="6" fillId="0" borderId="33" xfId="1" applyNumberFormat="1" applyFont="1" applyBorder="1" applyAlignment="1">
      <alignment horizontal="center"/>
    </xf>
    <xf numFmtId="187" fontId="5" fillId="4" borderId="32" xfId="0" applyNumberFormat="1" applyFont="1" applyFill="1" applyBorder="1" applyAlignment="1">
      <alignment horizontal="center"/>
    </xf>
    <xf numFmtId="187" fontId="5" fillId="4" borderId="32" xfId="1" applyNumberFormat="1" applyFont="1" applyFill="1" applyBorder="1" applyAlignment="1">
      <alignment horizontal="center"/>
    </xf>
    <xf numFmtId="187" fontId="5" fillId="4" borderId="25" xfId="1" applyNumberFormat="1" applyFont="1" applyFill="1" applyBorder="1" applyAlignment="1">
      <alignment horizontal="center"/>
    </xf>
    <xf numFmtId="187" fontId="6" fillId="5" borderId="33" xfId="0" applyNumberFormat="1" applyFont="1" applyFill="1" applyBorder="1" applyAlignment="1">
      <alignment horizontal="center"/>
    </xf>
    <xf numFmtId="187" fontId="5" fillId="6" borderId="33" xfId="0" applyNumberFormat="1" applyFont="1" applyFill="1" applyBorder="1" applyAlignment="1">
      <alignment horizontal="center"/>
    </xf>
    <xf numFmtId="187" fontId="5" fillId="6" borderId="32" xfId="0" applyNumberFormat="1" applyFont="1" applyFill="1" applyBorder="1" applyAlignment="1">
      <alignment horizontal="center"/>
    </xf>
    <xf numFmtId="187" fontId="5" fillId="6" borderId="32" xfId="1" applyNumberFormat="1" applyFont="1" applyFill="1" applyBorder="1" applyAlignment="1">
      <alignment horizontal="center"/>
    </xf>
    <xf numFmtId="187" fontId="5" fillId="6" borderId="25" xfId="1" applyNumberFormat="1" applyFont="1" applyFill="1" applyBorder="1" applyAlignment="1">
      <alignment horizontal="center"/>
    </xf>
    <xf numFmtId="187" fontId="6" fillId="0" borderId="32" xfId="0" applyNumberFormat="1" applyFont="1" applyBorder="1" applyAlignment="1">
      <alignment horizontal="center"/>
    </xf>
    <xf numFmtId="187" fontId="5" fillId="0" borderId="33" xfId="0" applyNumberFormat="1" applyFont="1" applyFill="1" applyBorder="1" applyAlignment="1">
      <alignment horizontal="center"/>
    </xf>
    <xf numFmtId="187" fontId="6" fillId="0" borderId="33" xfId="0" applyNumberFormat="1" applyFont="1" applyBorder="1" applyAlignment="1">
      <alignment horizontal="center"/>
    </xf>
    <xf numFmtId="187" fontId="6" fillId="0" borderId="25" xfId="0" applyNumberFormat="1" applyFont="1" applyBorder="1" applyAlignment="1">
      <alignment horizontal="center"/>
    </xf>
    <xf numFmtId="187" fontId="5" fillId="0" borderId="33" xfId="0" applyNumberFormat="1" applyFont="1" applyBorder="1" applyAlignment="1">
      <alignment horizontal="center"/>
    </xf>
    <xf numFmtId="187" fontId="5" fillId="0" borderId="33" xfId="1" applyNumberFormat="1" applyFont="1" applyBorder="1" applyAlignment="1">
      <alignment horizontal="center"/>
    </xf>
    <xf numFmtId="187" fontId="5" fillId="5" borderId="33" xfId="1" applyNumberFormat="1" applyFont="1" applyFill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5" fillId="3" borderId="13" xfId="1" applyNumberFormat="1" applyFont="1" applyFill="1" applyBorder="1" applyAlignment="1">
      <alignment horizontal="center"/>
    </xf>
    <xf numFmtId="187" fontId="6" fillId="3" borderId="16" xfId="0" applyNumberFormat="1" applyFont="1" applyFill="1" applyBorder="1" applyAlignment="1">
      <alignment horizontal="center"/>
    </xf>
    <xf numFmtId="187" fontId="6" fillId="3" borderId="19" xfId="0" applyNumberFormat="1" applyFont="1" applyFill="1" applyBorder="1" applyAlignment="1">
      <alignment horizontal="center"/>
    </xf>
    <xf numFmtId="187" fontId="5" fillId="3" borderId="22" xfId="0" applyNumberFormat="1" applyFont="1" applyFill="1" applyBorder="1" applyAlignment="1">
      <alignment horizontal="center"/>
    </xf>
    <xf numFmtId="187" fontId="6" fillId="3" borderId="22" xfId="0" applyNumberFormat="1" applyFont="1" applyFill="1" applyBorder="1" applyAlignment="1">
      <alignment horizontal="center"/>
    </xf>
    <xf numFmtId="187" fontId="6" fillId="3" borderId="16" xfId="1" applyNumberFormat="1" applyFont="1" applyFill="1" applyBorder="1" applyAlignment="1">
      <alignment horizontal="center"/>
    </xf>
    <xf numFmtId="187" fontId="5" fillId="3" borderId="16" xfId="0" applyNumberFormat="1" applyFont="1" applyFill="1" applyBorder="1" applyAlignment="1">
      <alignment horizontal="center"/>
    </xf>
    <xf numFmtId="187" fontId="5" fillId="3" borderId="19" xfId="0" applyNumberFormat="1" applyFont="1" applyFill="1" applyBorder="1" applyAlignment="1">
      <alignment horizontal="center"/>
    </xf>
    <xf numFmtId="187" fontId="5" fillId="3" borderId="16" xfId="1" applyNumberFormat="1" applyFont="1" applyFill="1" applyBorder="1" applyAlignment="1">
      <alignment horizontal="center"/>
    </xf>
    <xf numFmtId="187" fontId="5" fillId="3" borderId="19" xfId="1" applyNumberFormat="1" applyFont="1" applyFill="1" applyBorder="1" applyAlignment="1">
      <alignment horizontal="center"/>
    </xf>
    <xf numFmtId="187" fontId="5" fillId="3" borderId="22" xfId="1" applyNumberFormat="1" applyFont="1" applyFill="1" applyBorder="1" applyAlignment="1">
      <alignment horizontal="center"/>
    </xf>
    <xf numFmtId="187" fontId="6" fillId="3" borderId="19" xfId="1" applyNumberFormat="1" applyFont="1" applyFill="1" applyBorder="1" applyAlignment="1">
      <alignment horizontal="center"/>
    </xf>
    <xf numFmtId="187" fontId="6" fillId="3" borderId="22" xfId="1" applyNumberFormat="1" applyFont="1" applyFill="1" applyBorder="1" applyAlignment="1">
      <alignment horizontal="center"/>
    </xf>
    <xf numFmtId="187" fontId="5" fillId="5" borderId="22" xfId="1" applyNumberFormat="1" applyFont="1" applyFill="1" applyBorder="1" applyAlignment="1">
      <alignment horizontal="center"/>
    </xf>
    <xf numFmtId="188" fontId="4" fillId="0" borderId="5" xfId="0" applyNumberFormat="1" applyFont="1" applyBorder="1" applyAlignment="1"/>
    <xf numFmtId="188" fontId="5" fillId="2" borderId="4" xfId="0" applyNumberFormat="1" applyFont="1" applyFill="1" applyBorder="1" applyAlignment="1">
      <alignment horizontal="center" vertical="center"/>
    </xf>
    <xf numFmtId="188" fontId="5" fillId="2" borderId="4" xfId="0" applyNumberFormat="1" applyFont="1" applyFill="1" applyBorder="1" applyAlignment="1">
      <alignment horizontal="center" vertical="center" wrapText="1"/>
    </xf>
    <xf numFmtId="188" fontId="5" fillId="2" borderId="11" xfId="1" applyNumberFormat="1" applyFont="1" applyFill="1" applyBorder="1" applyAlignment="1">
      <alignment horizontal="center" vertical="center" wrapText="1"/>
    </xf>
    <xf numFmtId="188" fontId="6" fillId="0" borderId="13" xfId="0" applyNumberFormat="1" applyFont="1" applyBorder="1" applyAlignment="1">
      <alignment horizontal="center"/>
    </xf>
    <xf numFmtId="188" fontId="6" fillId="0" borderId="14" xfId="1" applyNumberFormat="1" applyFont="1" applyBorder="1" applyAlignment="1">
      <alignment horizontal="center"/>
    </xf>
    <xf numFmtId="188" fontId="6" fillId="0" borderId="16" xfId="1" applyNumberFormat="1" applyFont="1" applyBorder="1" applyAlignment="1">
      <alignment horizontal="center"/>
    </xf>
    <xf numFmtId="188" fontId="6" fillId="0" borderId="17" xfId="1" applyNumberFormat="1" applyFont="1" applyBorder="1" applyAlignment="1">
      <alignment horizontal="center"/>
    </xf>
    <xf numFmtId="188" fontId="6" fillId="0" borderId="19" xfId="1" applyNumberFormat="1" applyFont="1" applyBorder="1" applyAlignment="1">
      <alignment horizontal="center"/>
    </xf>
    <xf numFmtId="188" fontId="6" fillId="0" borderId="20" xfId="1" applyNumberFormat="1" applyFont="1" applyBorder="1" applyAlignment="1">
      <alignment horizontal="center"/>
    </xf>
    <xf numFmtId="188" fontId="6" fillId="0" borderId="22" xfId="1" applyNumberFormat="1" applyFont="1" applyBorder="1" applyAlignment="1">
      <alignment horizontal="center"/>
    </xf>
    <xf numFmtId="188" fontId="6" fillId="0" borderId="23" xfId="1" applyNumberFormat="1" applyFont="1" applyBorder="1" applyAlignment="1">
      <alignment horizontal="center"/>
    </xf>
    <xf numFmtId="188" fontId="5" fillId="0" borderId="16" xfId="1" applyNumberFormat="1" applyFont="1" applyBorder="1" applyAlignment="1">
      <alignment horizontal="center"/>
    </xf>
    <xf numFmtId="188" fontId="5" fillId="0" borderId="17" xfId="1" applyNumberFormat="1" applyFont="1" applyBorder="1" applyAlignment="1">
      <alignment horizontal="center"/>
    </xf>
    <xf numFmtId="188" fontId="5" fillId="0" borderId="19" xfId="1" applyNumberFormat="1" applyFont="1" applyBorder="1" applyAlignment="1">
      <alignment horizontal="center"/>
    </xf>
    <xf numFmtId="188" fontId="5" fillId="0" borderId="20" xfId="1" applyNumberFormat="1" applyFont="1" applyBorder="1" applyAlignment="1">
      <alignment horizontal="center"/>
    </xf>
    <xf numFmtId="188" fontId="5" fillId="0" borderId="16" xfId="0" applyNumberFormat="1" applyFont="1" applyBorder="1" applyAlignment="1">
      <alignment horizontal="center"/>
    </xf>
    <xf numFmtId="188" fontId="5" fillId="0" borderId="17" xfId="0" applyNumberFormat="1" applyFont="1" applyBorder="1" applyAlignment="1">
      <alignment horizontal="center"/>
    </xf>
    <xf numFmtId="188" fontId="5" fillId="0" borderId="24" xfId="1" applyNumberFormat="1" applyFont="1" applyBorder="1" applyAlignment="1">
      <alignment horizontal="center"/>
    </xf>
    <xf numFmtId="188" fontId="5" fillId="4" borderId="16" xfId="0" applyNumberFormat="1" applyFont="1" applyFill="1" applyBorder="1" applyAlignment="1">
      <alignment horizontal="center"/>
    </xf>
    <xf numFmtId="188" fontId="5" fillId="4" borderId="26" xfId="0" applyNumberFormat="1" applyFont="1" applyFill="1" applyBorder="1" applyAlignment="1">
      <alignment horizontal="center"/>
    </xf>
    <xf numFmtId="188" fontId="5" fillId="4" borderId="17" xfId="1" applyNumberFormat="1" applyFont="1" applyFill="1" applyBorder="1" applyAlignment="1">
      <alignment horizontal="center"/>
    </xf>
    <xf numFmtId="188" fontId="5" fillId="4" borderId="16" xfId="1" applyNumberFormat="1" applyFont="1" applyFill="1" applyBorder="1" applyAlignment="1">
      <alignment horizontal="center"/>
    </xf>
    <xf numFmtId="188" fontId="5" fillId="4" borderId="19" xfId="1" applyNumberFormat="1" applyFont="1" applyFill="1" applyBorder="1" applyAlignment="1">
      <alignment horizontal="center"/>
    </xf>
    <xf numFmtId="188" fontId="5" fillId="4" borderId="20" xfId="1" applyNumberFormat="1" applyFont="1" applyFill="1" applyBorder="1" applyAlignment="1">
      <alignment horizontal="center"/>
    </xf>
    <xf numFmtId="188" fontId="5" fillId="0" borderId="35" xfId="1" applyNumberFormat="1" applyFont="1" applyFill="1" applyBorder="1" applyAlignment="1">
      <alignment horizontal="center"/>
    </xf>
    <xf numFmtId="188" fontId="5" fillId="0" borderId="0" xfId="1" applyNumberFormat="1" applyFont="1" applyFill="1" applyBorder="1" applyAlignment="1">
      <alignment horizontal="center"/>
    </xf>
    <xf numFmtId="188" fontId="6" fillId="5" borderId="22" xfId="1" applyNumberFormat="1" applyFont="1" applyFill="1" applyBorder="1" applyAlignment="1">
      <alignment horizontal="center"/>
    </xf>
    <xf numFmtId="188" fontId="6" fillId="5" borderId="23" xfId="1" applyNumberFormat="1" applyFont="1" applyFill="1" applyBorder="1" applyAlignment="1">
      <alignment horizontal="center"/>
    </xf>
    <xf numFmtId="188" fontId="5" fillId="4" borderId="19" xfId="0" applyNumberFormat="1" applyFont="1" applyFill="1" applyBorder="1" applyAlignment="1">
      <alignment horizontal="center"/>
    </xf>
    <xf numFmtId="188" fontId="5" fillId="6" borderId="22" xfId="0" applyNumberFormat="1" applyFont="1" applyFill="1" applyBorder="1" applyAlignment="1">
      <alignment horizontal="center"/>
    </xf>
    <xf numFmtId="188" fontId="5" fillId="6" borderId="22" xfId="1" applyNumberFormat="1" applyFont="1" applyFill="1" applyBorder="1" applyAlignment="1">
      <alignment horizontal="center"/>
    </xf>
    <xf numFmtId="188" fontId="5" fillId="6" borderId="23" xfId="0" applyNumberFormat="1" applyFont="1" applyFill="1" applyBorder="1" applyAlignment="1">
      <alignment horizontal="center"/>
    </xf>
    <xf numFmtId="188" fontId="5" fillId="6" borderId="16" xfId="0" applyNumberFormat="1" applyFont="1" applyFill="1" applyBorder="1" applyAlignment="1">
      <alignment horizontal="center"/>
    </xf>
    <xf numFmtId="188" fontId="5" fillId="6" borderId="17" xfId="1" applyNumberFormat="1" applyFont="1" applyFill="1" applyBorder="1" applyAlignment="1">
      <alignment horizontal="center"/>
    </xf>
    <xf numFmtId="188" fontId="5" fillId="6" borderId="16" xfId="1" applyNumberFormat="1" applyFont="1" applyFill="1" applyBorder="1" applyAlignment="1">
      <alignment horizontal="center"/>
    </xf>
    <xf numFmtId="188" fontId="5" fillId="6" borderId="19" xfId="1" applyNumberFormat="1" applyFont="1" applyFill="1" applyBorder="1" applyAlignment="1">
      <alignment horizontal="center"/>
    </xf>
    <xf numFmtId="188" fontId="5" fillId="6" borderId="20" xfId="1" applyNumberFormat="1" applyFont="1" applyFill="1" applyBorder="1" applyAlignment="1">
      <alignment horizontal="center"/>
    </xf>
    <xf numFmtId="188" fontId="6" fillId="0" borderId="0" xfId="0" applyNumberFormat="1" applyFont="1" applyAlignment="1">
      <alignment horizontal="center"/>
    </xf>
    <xf numFmtId="188" fontId="6" fillId="0" borderId="0" xfId="1" applyNumberFormat="1" applyFont="1" applyAlignment="1">
      <alignment horizontal="center"/>
    </xf>
    <xf numFmtId="188" fontId="6" fillId="0" borderId="22" xfId="0" applyNumberFormat="1" applyFont="1" applyBorder="1" applyAlignment="1">
      <alignment horizontal="center"/>
    </xf>
    <xf numFmtId="188" fontId="6" fillId="0" borderId="16" xfId="0" applyNumberFormat="1" applyFont="1" applyBorder="1" applyAlignment="1">
      <alignment horizontal="center"/>
    </xf>
    <xf numFmtId="188" fontId="6" fillId="0" borderId="19" xfId="0" applyNumberFormat="1" applyFont="1" applyBorder="1" applyAlignment="1">
      <alignment horizontal="center"/>
    </xf>
    <xf numFmtId="188" fontId="6" fillId="5" borderId="22" xfId="0" applyNumberFormat="1" applyFont="1" applyFill="1" applyBorder="1" applyAlignment="1">
      <alignment horizontal="center"/>
    </xf>
    <xf numFmtId="188" fontId="6" fillId="3" borderId="13" xfId="0" applyNumberFormat="1" applyFont="1" applyFill="1" applyBorder="1" applyAlignment="1">
      <alignment horizontal="center"/>
    </xf>
    <xf numFmtId="188" fontId="5" fillId="3" borderId="14" xfId="1" applyNumberFormat="1" applyFont="1" applyFill="1" applyBorder="1" applyAlignment="1">
      <alignment horizontal="center"/>
    </xf>
    <xf numFmtId="188" fontId="6" fillId="3" borderId="16" xfId="0" applyNumberFormat="1" applyFont="1" applyFill="1" applyBorder="1" applyAlignment="1">
      <alignment horizontal="center"/>
    </xf>
    <xf numFmtId="188" fontId="6" fillId="3" borderId="16" xfId="1" applyNumberFormat="1" applyFont="1" applyFill="1" applyBorder="1" applyAlignment="1">
      <alignment horizontal="center"/>
    </xf>
    <xf numFmtId="188" fontId="5" fillId="3" borderId="17" xfId="1" applyNumberFormat="1" applyFont="1" applyFill="1" applyBorder="1" applyAlignment="1">
      <alignment horizontal="center"/>
    </xf>
    <xf numFmtId="188" fontId="6" fillId="3" borderId="19" xfId="0" applyNumberFormat="1" applyFont="1" applyFill="1" applyBorder="1" applyAlignment="1">
      <alignment horizontal="center"/>
    </xf>
    <xf numFmtId="188" fontId="6" fillId="3" borderId="19" xfId="1" applyNumberFormat="1" applyFont="1" applyFill="1" applyBorder="1" applyAlignment="1">
      <alignment horizontal="center"/>
    </xf>
    <xf numFmtId="188" fontId="5" fillId="3" borderId="20" xfId="1" applyNumberFormat="1" applyFont="1" applyFill="1" applyBorder="1" applyAlignment="1">
      <alignment horizontal="center"/>
    </xf>
    <xf numFmtId="188" fontId="5" fillId="3" borderId="22" xfId="0" applyNumberFormat="1" applyFont="1" applyFill="1" applyBorder="1" applyAlignment="1">
      <alignment horizontal="center"/>
    </xf>
    <xf numFmtId="188" fontId="6" fillId="3" borderId="22" xfId="1" applyNumberFormat="1" applyFont="1" applyFill="1" applyBorder="1" applyAlignment="1">
      <alignment horizontal="center"/>
    </xf>
    <xf numFmtId="188" fontId="5" fillId="3" borderId="23" xfId="1" applyNumberFormat="1" applyFont="1" applyFill="1" applyBorder="1" applyAlignment="1">
      <alignment horizontal="center"/>
    </xf>
    <xf numFmtId="188" fontId="6" fillId="3" borderId="22" xfId="0" applyNumberFormat="1" applyFont="1" applyFill="1" applyBorder="1" applyAlignment="1">
      <alignment horizontal="center"/>
    </xf>
    <xf numFmtId="188" fontId="5" fillId="3" borderId="16" xfId="0" applyNumberFormat="1" applyFont="1" applyFill="1" applyBorder="1" applyAlignment="1">
      <alignment horizontal="center"/>
    </xf>
    <xf numFmtId="188" fontId="5" fillId="3" borderId="16" xfId="1" applyNumberFormat="1" applyFont="1" applyFill="1" applyBorder="1" applyAlignment="1">
      <alignment horizontal="center"/>
    </xf>
    <xf numFmtId="188" fontId="5" fillId="3" borderId="19" xfId="0" applyNumberFormat="1" applyFont="1" applyFill="1" applyBorder="1" applyAlignment="1">
      <alignment horizontal="center"/>
    </xf>
    <xf numFmtId="188" fontId="5" fillId="3" borderId="19" xfId="1" applyNumberFormat="1" applyFont="1" applyFill="1" applyBorder="1" applyAlignment="1">
      <alignment horizontal="center"/>
    </xf>
    <xf numFmtId="188" fontId="5" fillId="5" borderId="23" xfId="1" applyNumberFormat="1" applyFont="1" applyFill="1" applyBorder="1" applyAlignment="1">
      <alignment horizontal="center"/>
    </xf>
    <xf numFmtId="188" fontId="5" fillId="0" borderId="0" xfId="0" applyNumberFormat="1" applyFont="1" applyAlignment="1">
      <alignment horizontal="center"/>
    </xf>
    <xf numFmtId="0" fontId="11" fillId="0" borderId="36" xfId="0" applyFont="1" applyFill="1" applyBorder="1" applyAlignment="1">
      <alignment vertical="center"/>
    </xf>
    <xf numFmtId="17" fontId="0" fillId="0" borderId="0" xfId="0" applyNumberFormat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87" fontId="12" fillId="0" borderId="32" xfId="1" applyNumberFormat="1" applyFont="1" applyBorder="1" applyAlignment="1">
      <alignment horizontal="center"/>
    </xf>
    <xf numFmtId="187" fontId="6" fillId="0" borderId="16" xfId="1" applyNumberFormat="1" applyFont="1" applyBorder="1" applyAlignment="1">
      <alignment horizontal="center"/>
    </xf>
    <xf numFmtId="187" fontId="6" fillId="0" borderId="22" xfId="1" applyNumberFormat="1" applyFont="1" applyBorder="1" applyAlignment="1">
      <alignment horizontal="center"/>
    </xf>
    <xf numFmtId="187" fontId="6" fillId="0" borderId="37" xfId="1" applyNumberFormat="1" applyFont="1" applyBorder="1" applyAlignment="1">
      <alignment horizontal="center"/>
    </xf>
    <xf numFmtId="187" fontId="5" fillId="0" borderId="16" xfId="1" applyNumberFormat="1" applyFont="1" applyBorder="1" applyAlignment="1">
      <alignment horizontal="center"/>
    </xf>
    <xf numFmtId="187" fontId="6" fillId="0" borderId="16" xfId="0" applyNumberFormat="1" applyFont="1" applyBorder="1" applyAlignment="1">
      <alignment horizontal="center"/>
    </xf>
    <xf numFmtId="187" fontId="5" fillId="8" borderId="16" xfId="1" applyNumberFormat="1" applyFont="1" applyFill="1" applyBorder="1" applyAlignment="1">
      <alignment horizontal="center"/>
    </xf>
    <xf numFmtId="187" fontId="5" fillId="8" borderId="19" xfId="1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188" fontId="5" fillId="2" borderId="8" xfId="0" applyNumberFormat="1" applyFont="1" applyFill="1" applyBorder="1" applyAlignment="1">
      <alignment horizontal="center" vertical="top"/>
    </xf>
    <xf numFmtId="188" fontId="5" fillId="2" borderId="9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187" fontId="12" fillId="0" borderId="32" xfId="0" applyNumberFormat="1" applyFont="1" applyBorder="1" applyAlignment="1">
      <alignment horizont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Normal 3 2" xfId="5"/>
    <cellStyle name="Normal 4" xfId="6"/>
    <cellStyle name="ปกติ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1"/>
  <sheetViews>
    <sheetView tabSelected="1" zoomScaleNormal="100" workbookViewId="0">
      <pane xSplit="2" ySplit="3" topLeftCell="C154" activePane="bottomRight" state="frozen"/>
      <selection pane="topRight" activeCell="C1" sqref="C1"/>
      <selection pane="bottomLeft" activeCell="A4" sqref="A4"/>
      <selection pane="bottomRight"/>
    </sheetView>
  </sheetViews>
  <sheetFormatPr defaultRowHeight="21.75" x14ac:dyDescent="0.5"/>
  <cols>
    <col min="1" max="1" width="27.625" style="29" customWidth="1"/>
    <col min="2" max="2" width="10" style="15" customWidth="1"/>
    <col min="3" max="3" width="8.125" style="92" customWidth="1"/>
    <col min="4" max="4" width="9.5" style="166" bestFit="1" customWidth="1"/>
    <col min="5" max="5" width="8.75" style="166" customWidth="1"/>
    <col min="6" max="6" width="9.5" style="167" bestFit="1" customWidth="1"/>
    <col min="7" max="7" width="8.625" style="92" customWidth="1"/>
    <col min="8" max="8" width="9.5" style="166" bestFit="1" customWidth="1"/>
    <col min="9" max="9" width="8" style="166" customWidth="1"/>
    <col min="10" max="10" width="9.5" style="167" bestFit="1" customWidth="1"/>
    <col min="11" max="11" width="9" style="113" customWidth="1"/>
    <col min="12" max="12" width="9.375" style="166" customWidth="1"/>
    <col min="13" max="13" width="8.375" style="166" bestFit="1" customWidth="1"/>
    <col min="14" max="14" width="9.5" style="166" bestFit="1" customWidth="1"/>
    <col min="15" max="15" width="9.75" style="113" customWidth="1"/>
    <col min="16" max="16" width="9.5" style="166" bestFit="1" customWidth="1"/>
    <col min="17" max="17" width="8.375" style="166" bestFit="1" customWidth="1"/>
    <col min="18" max="18" width="9.5" style="189" bestFit="1" customWidth="1"/>
    <col min="19" max="16384" width="9" style="15"/>
  </cols>
  <sheetData>
    <row r="1" spans="1:18" s="14" customFormat="1" ht="24" x14ac:dyDescent="0.55000000000000004">
      <c r="A1" s="31" t="s">
        <v>115</v>
      </c>
      <c r="B1" s="31"/>
      <c r="C1" s="73"/>
      <c r="D1" s="128"/>
      <c r="E1" s="128"/>
      <c r="F1" s="128"/>
      <c r="G1" s="73"/>
      <c r="H1" s="128"/>
      <c r="I1" s="128"/>
      <c r="J1" s="128"/>
      <c r="K1" s="73"/>
      <c r="L1" s="128"/>
      <c r="M1" s="128"/>
      <c r="N1" s="128"/>
      <c r="O1" s="73"/>
      <c r="P1" s="128"/>
      <c r="Q1" s="128"/>
      <c r="R1" s="128"/>
    </row>
    <row r="2" spans="1:18" ht="21.75" customHeight="1" x14ac:dyDescent="0.5">
      <c r="A2" s="205" t="s">
        <v>32</v>
      </c>
      <c r="B2" s="206" t="s">
        <v>33</v>
      </c>
      <c r="C2" s="202" t="s">
        <v>102</v>
      </c>
      <c r="D2" s="207"/>
      <c r="E2" s="207"/>
      <c r="F2" s="208"/>
      <c r="G2" s="202" t="s">
        <v>103</v>
      </c>
      <c r="H2" s="207"/>
      <c r="I2" s="207"/>
      <c r="J2" s="208"/>
      <c r="K2" s="202" t="s">
        <v>118</v>
      </c>
      <c r="L2" s="203"/>
      <c r="M2" s="203"/>
      <c r="N2" s="204"/>
      <c r="O2" s="202" t="s">
        <v>107</v>
      </c>
      <c r="P2" s="203"/>
      <c r="Q2" s="203"/>
      <c r="R2" s="204"/>
    </row>
    <row r="3" spans="1:18" ht="66.75" customHeight="1" x14ac:dyDescent="0.5">
      <c r="A3" s="205"/>
      <c r="B3" s="206"/>
      <c r="C3" s="93" t="s">
        <v>34</v>
      </c>
      <c r="D3" s="129" t="s">
        <v>35</v>
      </c>
      <c r="E3" s="130" t="s">
        <v>36</v>
      </c>
      <c r="F3" s="131" t="s">
        <v>37</v>
      </c>
      <c r="G3" s="93" t="s">
        <v>34</v>
      </c>
      <c r="H3" s="129" t="s">
        <v>35</v>
      </c>
      <c r="I3" s="130" t="s">
        <v>36</v>
      </c>
      <c r="J3" s="131" t="s">
        <v>37</v>
      </c>
      <c r="K3" s="93" t="s">
        <v>34</v>
      </c>
      <c r="L3" s="129" t="s">
        <v>35</v>
      </c>
      <c r="M3" s="130" t="s">
        <v>36</v>
      </c>
      <c r="N3" s="131" t="s">
        <v>37</v>
      </c>
      <c r="O3" s="74" t="s">
        <v>38</v>
      </c>
      <c r="P3" s="129" t="s">
        <v>39</v>
      </c>
      <c r="Q3" s="130" t="s">
        <v>40</v>
      </c>
      <c r="R3" s="131" t="s">
        <v>37</v>
      </c>
    </row>
    <row r="4" spans="1:18" x14ac:dyDescent="0.5">
      <c r="A4" s="59" t="s">
        <v>2</v>
      </c>
      <c r="B4" s="32"/>
      <c r="C4" s="94"/>
      <c r="D4" s="132"/>
      <c r="E4" s="132"/>
      <c r="F4" s="133"/>
      <c r="G4" s="94"/>
      <c r="H4" s="132"/>
      <c r="I4" s="132"/>
      <c r="J4" s="133"/>
      <c r="K4" s="94"/>
      <c r="L4" s="132"/>
      <c r="M4" s="132"/>
      <c r="N4" s="133"/>
      <c r="O4" s="114"/>
      <c r="P4" s="172"/>
      <c r="Q4" s="172"/>
      <c r="R4" s="173"/>
    </row>
    <row r="5" spans="1:18" x14ac:dyDescent="0.5">
      <c r="A5" s="55" t="s">
        <v>41</v>
      </c>
      <c r="B5" s="33" t="s">
        <v>3</v>
      </c>
      <c r="C5" s="95">
        <f>23079+6156</f>
        <v>29235</v>
      </c>
      <c r="D5" s="134">
        <f>ROUND(C5/18,2)</f>
        <v>1624.17</v>
      </c>
      <c r="E5" s="134"/>
      <c r="F5" s="135">
        <f>SUM(D5,E6:E7)</f>
        <v>1624.17</v>
      </c>
      <c r="G5" s="95">
        <f>17485+7782</f>
        <v>25267</v>
      </c>
      <c r="H5" s="134">
        <f>ROUND(G5/18,2)</f>
        <v>1403.72</v>
      </c>
      <c r="I5" s="134"/>
      <c r="J5" s="135">
        <f>SUM(H5,I6:I7)</f>
        <v>1403.72</v>
      </c>
      <c r="K5" s="106">
        <f>1122+285</f>
        <v>1407</v>
      </c>
      <c r="L5" s="134">
        <f>ROUND(K5/18,2)</f>
        <v>78.17</v>
      </c>
      <c r="M5" s="134"/>
      <c r="N5" s="135">
        <f>SUM(L5,M6:M7)</f>
        <v>78.17</v>
      </c>
      <c r="O5" s="115">
        <f>SUM(C5,G5,K5)</f>
        <v>55909</v>
      </c>
      <c r="P5" s="174">
        <f>ROUND(O5/36,2)</f>
        <v>1553.03</v>
      </c>
      <c r="Q5" s="175"/>
      <c r="R5" s="176">
        <f>SUM(P5,Q6:Q7)</f>
        <v>1553.03</v>
      </c>
    </row>
    <row r="6" spans="1:18" x14ac:dyDescent="0.5">
      <c r="A6" s="55"/>
      <c r="B6" s="33" t="s">
        <v>42</v>
      </c>
      <c r="C6" s="95"/>
      <c r="D6" s="134">
        <f>ROUND(C6/12,2)</f>
        <v>0</v>
      </c>
      <c r="E6" s="134">
        <f>D6*1.8</f>
        <v>0</v>
      </c>
      <c r="F6" s="135"/>
      <c r="G6" s="95"/>
      <c r="H6" s="134">
        <f>ROUND(G6/12,2)</f>
        <v>0</v>
      </c>
      <c r="I6" s="134">
        <f>H6*1.8</f>
        <v>0</v>
      </c>
      <c r="J6" s="135"/>
      <c r="K6" s="95"/>
      <c r="L6" s="134">
        <f>ROUND(K6/12,2)</f>
        <v>0</v>
      </c>
      <c r="M6" s="134">
        <f>L6*1.8</f>
        <v>0</v>
      </c>
      <c r="N6" s="135"/>
      <c r="O6" s="115">
        <f>SUM(C6,G6,K6)</f>
        <v>0</v>
      </c>
      <c r="P6" s="174">
        <f>ROUND(O6/24,2)</f>
        <v>0</v>
      </c>
      <c r="Q6" s="175">
        <f>P6*1.8</f>
        <v>0</v>
      </c>
      <c r="R6" s="176">
        <v>0</v>
      </c>
    </row>
    <row r="7" spans="1:18" ht="22.5" thickBot="1" x14ac:dyDescent="0.55000000000000004">
      <c r="A7" s="60"/>
      <c r="B7" s="34" t="s">
        <v>43</v>
      </c>
      <c r="C7" s="96"/>
      <c r="D7" s="136">
        <f>ROUND(C7/12,2)</f>
        <v>0</v>
      </c>
      <c r="E7" s="136">
        <f>D7*1.8</f>
        <v>0</v>
      </c>
      <c r="F7" s="137"/>
      <c r="G7" s="96"/>
      <c r="H7" s="136">
        <f>ROUND(G7/12,2)</f>
        <v>0</v>
      </c>
      <c r="I7" s="136">
        <f>H7*1.8</f>
        <v>0</v>
      </c>
      <c r="J7" s="137"/>
      <c r="K7" s="96"/>
      <c r="L7" s="136">
        <f>ROUND(K7/12,2)</f>
        <v>0</v>
      </c>
      <c r="M7" s="136">
        <f>L7*1.8</f>
        <v>0</v>
      </c>
      <c r="N7" s="137"/>
      <c r="O7" s="116">
        <f>SUM(C7,G7,K7)</f>
        <v>0</v>
      </c>
      <c r="P7" s="177">
        <f>ROUND(O7/24,2)</f>
        <v>0</v>
      </c>
      <c r="Q7" s="178">
        <f>P7*1.8</f>
        <v>0</v>
      </c>
      <c r="R7" s="179">
        <v>0</v>
      </c>
    </row>
    <row r="8" spans="1:18" x14ac:dyDescent="0.5">
      <c r="A8" s="58" t="s">
        <v>100</v>
      </c>
      <c r="B8" s="35"/>
      <c r="C8" s="97"/>
      <c r="D8" s="138"/>
      <c r="E8" s="138"/>
      <c r="F8" s="139"/>
      <c r="G8" s="97"/>
      <c r="H8" s="138"/>
      <c r="I8" s="168"/>
      <c r="J8" s="139"/>
      <c r="K8" s="107"/>
      <c r="L8" s="138"/>
      <c r="M8" s="138"/>
      <c r="N8" s="139"/>
      <c r="O8" s="117"/>
      <c r="P8" s="180"/>
      <c r="Q8" s="181"/>
      <c r="R8" s="182"/>
    </row>
    <row r="9" spans="1:18" x14ac:dyDescent="0.5">
      <c r="A9" s="55" t="s">
        <v>41</v>
      </c>
      <c r="B9" s="33" t="s">
        <v>3</v>
      </c>
      <c r="C9" s="95">
        <f>410+67+4109</f>
        <v>4586</v>
      </c>
      <c r="D9" s="134">
        <f>ROUND(C9/18,2)</f>
        <v>254.78</v>
      </c>
      <c r="E9" s="134"/>
      <c r="F9" s="135">
        <f>SUM(D9,E10:E11)</f>
        <v>254.78</v>
      </c>
      <c r="G9" s="95">
        <f>106+69+3635</f>
        <v>3810</v>
      </c>
      <c r="H9" s="134">
        <f>ROUND(G9/18,2)</f>
        <v>211.67</v>
      </c>
      <c r="I9" s="134"/>
      <c r="J9" s="135">
        <f>SUM(H9,I10:I11)</f>
        <v>211.67</v>
      </c>
      <c r="K9" s="106"/>
      <c r="L9" s="134">
        <f>ROUND(K9/18,2)</f>
        <v>0</v>
      </c>
      <c r="M9" s="134"/>
      <c r="N9" s="135">
        <f>SUM(L9,M10:M11)</f>
        <v>0</v>
      </c>
      <c r="O9" s="115">
        <f>SUM(C9,G9,K9)</f>
        <v>8396</v>
      </c>
      <c r="P9" s="174">
        <f>ROUND(O9/36,2)</f>
        <v>233.22</v>
      </c>
      <c r="Q9" s="175"/>
      <c r="R9" s="176">
        <f>SUM(P9,Q10:Q11)</f>
        <v>233.22</v>
      </c>
    </row>
    <row r="10" spans="1:18" x14ac:dyDescent="0.5">
      <c r="A10" s="55"/>
      <c r="B10" s="33" t="s">
        <v>42</v>
      </c>
      <c r="C10" s="95"/>
      <c r="D10" s="134">
        <f>ROUND(C10/12,2)</f>
        <v>0</v>
      </c>
      <c r="E10" s="134">
        <f>D10*1</f>
        <v>0</v>
      </c>
      <c r="F10" s="135"/>
      <c r="G10" s="95"/>
      <c r="H10" s="134">
        <f>ROUND(G10/12,2)</f>
        <v>0</v>
      </c>
      <c r="I10" s="134">
        <f>H10*1</f>
        <v>0</v>
      </c>
      <c r="J10" s="135"/>
      <c r="K10" s="95"/>
      <c r="L10" s="134">
        <f>ROUND(K10/12,2)</f>
        <v>0</v>
      </c>
      <c r="M10" s="134">
        <f>L10*1</f>
        <v>0</v>
      </c>
      <c r="N10" s="135"/>
      <c r="O10" s="115">
        <f>SUM(C10,G10,K10)</f>
        <v>0</v>
      </c>
      <c r="P10" s="174">
        <f>ROUND(O10/24,2)</f>
        <v>0</v>
      </c>
      <c r="Q10" s="175">
        <f>P10*1</f>
        <v>0</v>
      </c>
      <c r="R10" s="176">
        <v>0</v>
      </c>
    </row>
    <row r="11" spans="1:18" ht="22.5" thickBot="1" x14ac:dyDescent="0.55000000000000004">
      <c r="A11" s="60"/>
      <c r="B11" s="34" t="s">
        <v>43</v>
      </c>
      <c r="C11" s="96"/>
      <c r="D11" s="136">
        <f>ROUND(C11/12,2)</f>
        <v>0</v>
      </c>
      <c r="E11" s="136">
        <f>D11*1</f>
        <v>0</v>
      </c>
      <c r="F11" s="137"/>
      <c r="G11" s="96"/>
      <c r="H11" s="136">
        <f>ROUND(G11/12,2)</f>
        <v>0</v>
      </c>
      <c r="I11" s="136">
        <f>H11*1</f>
        <v>0</v>
      </c>
      <c r="J11" s="137"/>
      <c r="K11" s="96"/>
      <c r="L11" s="136">
        <f>ROUND(K11/12,2)</f>
        <v>0</v>
      </c>
      <c r="M11" s="136">
        <f>L11*1</f>
        <v>0</v>
      </c>
      <c r="N11" s="137"/>
      <c r="O11" s="116">
        <f>SUM(C11,G11,K11)</f>
        <v>0</v>
      </c>
      <c r="P11" s="177">
        <f>ROUND(O11/24,2)</f>
        <v>0</v>
      </c>
      <c r="Q11" s="178">
        <f>P11*1</f>
        <v>0</v>
      </c>
      <c r="R11" s="179">
        <v>0</v>
      </c>
    </row>
    <row r="12" spans="1:18" x14ac:dyDescent="0.5">
      <c r="A12" s="58" t="s">
        <v>5</v>
      </c>
      <c r="B12" s="35"/>
      <c r="C12" s="97"/>
      <c r="D12" s="138"/>
      <c r="E12" s="138"/>
      <c r="F12" s="139"/>
      <c r="G12" s="97"/>
      <c r="H12" s="138"/>
      <c r="I12" s="168"/>
      <c r="J12" s="139"/>
      <c r="K12" s="107"/>
      <c r="L12" s="138"/>
      <c r="M12" s="138"/>
      <c r="N12" s="139"/>
      <c r="O12" s="117"/>
      <c r="P12" s="180"/>
      <c r="Q12" s="181"/>
      <c r="R12" s="182"/>
    </row>
    <row r="13" spans="1:18" x14ac:dyDescent="0.5">
      <c r="A13" s="55" t="s">
        <v>41</v>
      </c>
      <c r="B13" s="33" t="s">
        <v>3</v>
      </c>
      <c r="C13" s="95">
        <v>6029</v>
      </c>
      <c r="D13" s="134">
        <f>ROUND(C13/18,2)</f>
        <v>334.94</v>
      </c>
      <c r="E13" s="134"/>
      <c r="F13" s="135">
        <f>SUM(D13,E14:E15)</f>
        <v>334.94</v>
      </c>
      <c r="G13" s="95">
        <v>4857</v>
      </c>
      <c r="H13" s="134">
        <f>ROUND(G13/18,2)</f>
        <v>269.83</v>
      </c>
      <c r="I13" s="134"/>
      <c r="J13" s="135">
        <f>SUM(H13,I14:I15)</f>
        <v>269.83</v>
      </c>
      <c r="K13" s="106">
        <f>140</f>
        <v>140</v>
      </c>
      <c r="L13" s="134">
        <f>ROUND(K13/18,2)</f>
        <v>7.78</v>
      </c>
      <c r="M13" s="134"/>
      <c r="N13" s="135">
        <f>SUM(L13,M14:M15)</f>
        <v>7.78</v>
      </c>
      <c r="O13" s="115">
        <f>SUM(C13,G13,K13)</f>
        <v>11026</v>
      </c>
      <c r="P13" s="174">
        <f>ROUND(O13/36,2)</f>
        <v>306.27999999999997</v>
      </c>
      <c r="Q13" s="175"/>
      <c r="R13" s="176">
        <f>SUM(P13,Q14:Q15)</f>
        <v>306.27999999999997</v>
      </c>
    </row>
    <row r="14" spans="1:18" x14ac:dyDescent="0.5">
      <c r="A14" s="55"/>
      <c r="B14" s="33" t="s">
        <v>42</v>
      </c>
      <c r="C14" s="95"/>
      <c r="D14" s="134">
        <f>ROUND(C14/12,2)</f>
        <v>0</v>
      </c>
      <c r="E14" s="134">
        <f>D14*1</f>
        <v>0</v>
      </c>
      <c r="F14" s="135"/>
      <c r="G14" s="95"/>
      <c r="H14" s="134">
        <f>ROUND(G14/12,2)</f>
        <v>0</v>
      </c>
      <c r="I14" s="134">
        <f>H14*1</f>
        <v>0</v>
      </c>
      <c r="J14" s="135"/>
      <c r="K14" s="95"/>
      <c r="L14" s="134">
        <f>ROUND(K14/12,2)</f>
        <v>0</v>
      </c>
      <c r="M14" s="134">
        <f>L14*1</f>
        <v>0</v>
      </c>
      <c r="N14" s="135"/>
      <c r="O14" s="115">
        <f>SUM(C14,G14,K14)</f>
        <v>0</v>
      </c>
      <c r="P14" s="174">
        <f>ROUND(O14/24,2)</f>
        <v>0</v>
      </c>
      <c r="Q14" s="175">
        <f>P14*1</f>
        <v>0</v>
      </c>
      <c r="R14" s="176">
        <v>0</v>
      </c>
    </row>
    <row r="15" spans="1:18" ht="22.5" thickBot="1" x14ac:dyDescent="0.55000000000000004">
      <c r="A15" s="60"/>
      <c r="B15" s="34" t="s">
        <v>43</v>
      </c>
      <c r="C15" s="96"/>
      <c r="D15" s="136">
        <f>ROUND(C15/12,2)</f>
        <v>0</v>
      </c>
      <c r="E15" s="136">
        <f>D15*1</f>
        <v>0</v>
      </c>
      <c r="F15" s="137"/>
      <c r="G15" s="96"/>
      <c r="H15" s="136">
        <f>ROUND(G15/12,2)</f>
        <v>0</v>
      </c>
      <c r="I15" s="136">
        <f>H15*1</f>
        <v>0</v>
      </c>
      <c r="J15" s="137"/>
      <c r="K15" s="96"/>
      <c r="L15" s="136">
        <f>ROUND(K15/12,2)</f>
        <v>0</v>
      </c>
      <c r="M15" s="136">
        <f>L15*1</f>
        <v>0</v>
      </c>
      <c r="N15" s="137"/>
      <c r="O15" s="116">
        <f>SUM(C15,G15,K15)</f>
        <v>0</v>
      </c>
      <c r="P15" s="177">
        <f>ROUND(O15/24,2)</f>
        <v>0</v>
      </c>
      <c r="Q15" s="178">
        <f>P15*1</f>
        <v>0</v>
      </c>
      <c r="R15" s="179">
        <v>0</v>
      </c>
    </row>
    <row r="16" spans="1:18" x14ac:dyDescent="0.5">
      <c r="A16" s="58" t="s">
        <v>6</v>
      </c>
      <c r="B16" s="35"/>
      <c r="C16" s="97"/>
      <c r="D16" s="138"/>
      <c r="E16" s="138"/>
      <c r="F16" s="139"/>
      <c r="G16" s="97"/>
      <c r="H16" s="138"/>
      <c r="I16" s="168"/>
      <c r="J16" s="139"/>
      <c r="K16" s="108"/>
      <c r="L16" s="138"/>
      <c r="M16" s="138"/>
      <c r="N16" s="139"/>
      <c r="O16" s="118"/>
      <c r="P16" s="183"/>
      <c r="Q16" s="181"/>
      <c r="R16" s="182"/>
    </row>
    <row r="17" spans="1:18" x14ac:dyDescent="0.5">
      <c r="A17" s="55" t="s">
        <v>41</v>
      </c>
      <c r="B17" s="33" t="s">
        <v>3</v>
      </c>
      <c r="C17" s="95">
        <f>1843+1650+471+969+1904+1469</f>
        <v>8306</v>
      </c>
      <c r="D17" s="134">
        <f>ROUND(C17/18,2)</f>
        <v>461.44</v>
      </c>
      <c r="E17" s="134"/>
      <c r="F17" s="135">
        <f>SUM(D17,E18:E19)</f>
        <v>504.19</v>
      </c>
      <c r="G17" s="95">
        <f>1067+1516+2378+1208+2006+873</f>
        <v>9048</v>
      </c>
      <c r="H17" s="134">
        <f>ROUND(G17/18,2)</f>
        <v>502.67</v>
      </c>
      <c r="I17" s="134"/>
      <c r="J17" s="135">
        <f>SUM(H17,I18:I19)</f>
        <v>539.5</v>
      </c>
      <c r="K17" s="95">
        <f>368+156+360</f>
        <v>884</v>
      </c>
      <c r="L17" s="134">
        <f>ROUND(K17/18,2)</f>
        <v>49.11</v>
      </c>
      <c r="M17" s="134"/>
      <c r="N17" s="135">
        <f>SUM(L17,M18:M19)</f>
        <v>49.11</v>
      </c>
      <c r="O17" s="115">
        <f>SUM(C17,G17,K17)</f>
        <v>18238</v>
      </c>
      <c r="P17" s="174">
        <f>ROUND(O17/36,2)</f>
        <v>506.61</v>
      </c>
      <c r="Q17" s="175"/>
      <c r="R17" s="176">
        <f>SUM(P17,Q18:Q19)</f>
        <v>546.41</v>
      </c>
    </row>
    <row r="18" spans="1:18" x14ac:dyDescent="0.5">
      <c r="A18" s="55"/>
      <c r="B18" s="33" t="s">
        <v>42</v>
      </c>
      <c r="C18" s="95">
        <f>30+143+166+17+3+60</f>
        <v>419</v>
      </c>
      <c r="D18" s="134">
        <f>ROUND(C18/12,2)</f>
        <v>34.92</v>
      </c>
      <c r="E18" s="134">
        <f>D18*1</f>
        <v>34.92</v>
      </c>
      <c r="F18" s="135"/>
      <c r="G18" s="95">
        <f>125+43+90+4+84</f>
        <v>346</v>
      </c>
      <c r="H18" s="134">
        <f>ROUND(G18/12,2)</f>
        <v>28.83</v>
      </c>
      <c r="I18" s="134">
        <f>H18*1</f>
        <v>28.83</v>
      </c>
      <c r="J18" s="135"/>
      <c r="K18" s="106"/>
      <c r="L18" s="134">
        <f>ROUND(K18/12,2)</f>
        <v>0</v>
      </c>
      <c r="M18" s="134">
        <f>L18*1</f>
        <v>0</v>
      </c>
      <c r="N18" s="135"/>
      <c r="O18" s="115">
        <f>SUM(C18,G18,K18)</f>
        <v>765</v>
      </c>
      <c r="P18" s="174">
        <f>ROUND(O18/24,2)</f>
        <v>31.88</v>
      </c>
      <c r="Q18" s="175">
        <f>P18*1</f>
        <v>31.88</v>
      </c>
      <c r="R18" s="176">
        <v>0</v>
      </c>
    </row>
    <row r="19" spans="1:18" ht="22.5" thickBot="1" x14ac:dyDescent="0.55000000000000004">
      <c r="A19" s="60"/>
      <c r="B19" s="34" t="s">
        <v>43</v>
      </c>
      <c r="C19" s="96">
        <v>94</v>
      </c>
      <c r="D19" s="136">
        <f>ROUND(C19/12,2)</f>
        <v>7.83</v>
      </c>
      <c r="E19" s="136">
        <f>D19*1</f>
        <v>7.83</v>
      </c>
      <c r="F19" s="137"/>
      <c r="G19" s="96">
        <v>96</v>
      </c>
      <c r="H19" s="136">
        <f>ROUND(G19/12,2)</f>
        <v>8</v>
      </c>
      <c r="I19" s="136">
        <f>H19*1</f>
        <v>8</v>
      </c>
      <c r="J19" s="137"/>
      <c r="K19" s="109"/>
      <c r="L19" s="136">
        <f>ROUND(K19/12,2)</f>
        <v>0</v>
      </c>
      <c r="M19" s="136">
        <f>L19*1</f>
        <v>0</v>
      </c>
      <c r="N19" s="137"/>
      <c r="O19" s="116">
        <f>SUM(C19,G19,K19)</f>
        <v>190</v>
      </c>
      <c r="P19" s="177">
        <f>ROUND(O19/24,2)</f>
        <v>7.92</v>
      </c>
      <c r="Q19" s="178">
        <f>P19*1</f>
        <v>7.92</v>
      </c>
      <c r="R19" s="179">
        <v>0</v>
      </c>
    </row>
    <row r="20" spans="1:18" x14ac:dyDescent="0.5">
      <c r="A20" s="58" t="s">
        <v>7</v>
      </c>
      <c r="B20" s="36"/>
      <c r="C20" s="97"/>
      <c r="D20" s="138"/>
      <c r="E20" s="138"/>
      <c r="F20" s="139"/>
      <c r="G20" s="97"/>
      <c r="H20" s="138"/>
      <c r="I20" s="168"/>
      <c r="J20" s="139"/>
      <c r="K20" s="110"/>
      <c r="L20" s="138"/>
      <c r="M20" s="138"/>
      <c r="N20" s="139"/>
      <c r="O20" s="117"/>
      <c r="P20" s="183"/>
      <c r="Q20" s="181"/>
      <c r="R20" s="182"/>
    </row>
    <row r="21" spans="1:18" x14ac:dyDescent="0.5">
      <c r="A21" s="66" t="s">
        <v>41</v>
      </c>
      <c r="B21" s="37" t="s">
        <v>3</v>
      </c>
      <c r="C21" s="97">
        <v>6684</v>
      </c>
      <c r="D21" s="138">
        <f>ROUND(C21/18,2)</f>
        <v>371.33</v>
      </c>
      <c r="E21" s="138"/>
      <c r="F21" s="139">
        <f>SUM(D21,E22:E23)</f>
        <v>371.33</v>
      </c>
      <c r="G21" s="97">
        <v>378</v>
      </c>
      <c r="H21" s="138">
        <f>ROUND(G21/18,2)</f>
        <v>21</v>
      </c>
      <c r="I21" s="138"/>
      <c r="J21" s="139">
        <f>SUM(H21,I22:I23)</f>
        <v>21</v>
      </c>
      <c r="K21" s="108">
        <f>380</f>
        <v>380</v>
      </c>
      <c r="L21" s="134">
        <f>ROUND(K21/18,2)</f>
        <v>21.11</v>
      </c>
      <c r="M21" s="138"/>
      <c r="N21" s="139">
        <f>SUM(L21,M22:M23)</f>
        <v>21.11</v>
      </c>
      <c r="O21" s="117">
        <f t="shared" ref="O21:O50" si="0">SUM(C21,G21,K21)</f>
        <v>7442</v>
      </c>
      <c r="P21" s="183">
        <f>ROUND(O21/36,2)</f>
        <v>206.72</v>
      </c>
      <c r="Q21" s="181"/>
      <c r="R21" s="182">
        <f>SUM(P21,Q22:Q23)</f>
        <v>206.72</v>
      </c>
    </row>
    <row r="22" spans="1:18" x14ac:dyDescent="0.5">
      <c r="A22" s="58"/>
      <c r="B22" s="37" t="s">
        <v>42</v>
      </c>
      <c r="C22" s="97"/>
      <c r="D22" s="138">
        <f>ROUND(C22/12,2)</f>
        <v>0</v>
      </c>
      <c r="E22" s="138">
        <f>D22*1</f>
        <v>0</v>
      </c>
      <c r="F22" s="139"/>
      <c r="G22" s="97"/>
      <c r="H22" s="138">
        <f>ROUND(G22/12,2)</f>
        <v>0</v>
      </c>
      <c r="I22" s="138">
        <f>H22*1</f>
        <v>0</v>
      </c>
      <c r="J22" s="139"/>
      <c r="K22" s="110"/>
      <c r="L22" s="138">
        <f>ROUND(K22/12,2)</f>
        <v>0</v>
      </c>
      <c r="M22" s="138">
        <f>L22*1</f>
        <v>0</v>
      </c>
      <c r="N22" s="139"/>
      <c r="O22" s="117">
        <f t="shared" si="0"/>
        <v>0</v>
      </c>
      <c r="P22" s="183">
        <f>ROUND(O22/24,2)</f>
        <v>0</v>
      </c>
      <c r="Q22" s="181">
        <f>P22*1</f>
        <v>0</v>
      </c>
      <c r="R22" s="182">
        <v>0</v>
      </c>
    </row>
    <row r="23" spans="1:18" x14ac:dyDescent="0.5">
      <c r="A23" s="58"/>
      <c r="B23" s="37" t="s">
        <v>43</v>
      </c>
      <c r="C23" s="97"/>
      <c r="D23" s="138">
        <f>ROUND(C23/12,2)</f>
        <v>0</v>
      </c>
      <c r="E23" s="138">
        <f>D23*1</f>
        <v>0</v>
      </c>
      <c r="F23" s="139"/>
      <c r="G23" s="97"/>
      <c r="H23" s="138">
        <f>ROUND(G23/12,2)</f>
        <v>0</v>
      </c>
      <c r="I23" s="138">
        <f>H23*1</f>
        <v>0</v>
      </c>
      <c r="J23" s="139"/>
      <c r="K23" s="110"/>
      <c r="L23" s="138">
        <f>ROUND(K23/12,2)</f>
        <v>0</v>
      </c>
      <c r="M23" s="138">
        <f>L23*1</f>
        <v>0</v>
      </c>
      <c r="N23" s="139"/>
      <c r="O23" s="117">
        <f t="shared" si="0"/>
        <v>0</v>
      </c>
      <c r="P23" s="183">
        <f>ROUND(O23/24,2)</f>
        <v>0</v>
      </c>
      <c r="Q23" s="181">
        <f>P23*1</f>
        <v>0</v>
      </c>
      <c r="R23" s="182">
        <v>0</v>
      </c>
    </row>
    <row r="24" spans="1:18" x14ac:dyDescent="0.5">
      <c r="A24" s="55" t="s">
        <v>93</v>
      </c>
      <c r="B24" s="33" t="s">
        <v>3</v>
      </c>
      <c r="C24" s="95"/>
      <c r="D24" s="134">
        <f>ROUND(C24/18,2)</f>
        <v>0</v>
      </c>
      <c r="E24" s="134"/>
      <c r="F24" s="135">
        <f>SUM(D24,E25:E26)</f>
        <v>0</v>
      </c>
      <c r="G24" s="95"/>
      <c r="H24" s="134">
        <f>ROUND(G24/18,2)</f>
        <v>0</v>
      </c>
      <c r="I24" s="134"/>
      <c r="J24" s="135">
        <f>SUM(H24,I25:I26)</f>
        <v>0</v>
      </c>
      <c r="K24" s="106"/>
      <c r="L24" s="134">
        <f>ROUND(K24/18,2)</f>
        <v>0</v>
      </c>
      <c r="M24" s="134"/>
      <c r="N24" s="135">
        <f>SUM(L24,M25:M26)</f>
        <v>0</v>
      </c>
      <c r="O24" s="115">
        <f t="shared" si="0"/>
        <v>0</v>
      </c>
      <c r="P24" s="174">
        <f>ROUND(O24/36,2)</f>
        <v>0</v>
      </c>
      <c r="Q24" s="175"/>
      <c r="R24" s="176">
        <f>SUM(P24,Q25:Q26)</f>
        <v>0</v>
      </c>
    </row>
    <row r="25" spans="1:18" x14ac:dyDescent="0.5">
      <c r="A25" s="61"/>
      <c r="B25" s="33" t="s">
        <v>42</v>
      </c>
      <c r="C25" s="95"/>
      <c r="D25" s="134">
        <f>ROUND(C25/12,2)</f>
        <v>0</v>
      </c>
      <c r="E25" s="138">
        <f>D25*1</f>
        <v>0</v>
      </c>
      <c r="F25" s="135"/>
      <c r="G25" s="95"/>
      <c r="H25" s="134">
        <f>ROUND(G25/12,2)</f>
        <v>0</v>
      </c>
      <c r="I25" s="138">
        <f>H25*1</f>
        <v>0</v>
      </c>
      <c r="J25" s="135"/>
      <c r="K25" s="106"/>
      <c r="L25" s="134">
        <f>ROUND(K25/12,2)</f>
        <v>0</v>
      </c>
      <c r="M25" s="138">
        <f>L25*1</f>
        <v>0</v>
      </c>
      <c r="N25" s="135"/>
      <c r="O25" s="115">
        <f t="shared" si="0"/>
        <v>0</v>
      </c>
      <c r="P25" s="175">
        <f>ROUND(O25/24,2)</f>
        <v>0</v>
      </c>
      <c r="Q25" s="175">
        <f>P25*1</f>
        <v>0</v>
      </c>
      <c r="R25" s="176">
        <v>0</v>
      </c>
    </row>
    <row r="26" spans="1:18" x14ac:dyDescent="0.5">
      <c r="A26" s="61"/>
      <c r="B26" s="33" t="s">
        <v>43</v>
      </c>
      <c r="C26" s="95"/>
      <c r="D26" s="134">
        <f>ROUND(C26/12,2)</f>
        <v>0</v>
      </c>
      <c r="E26" s="138">
        <f>D26*1</f>
        <v>0</v>
      </c>
      <c r="F26" s="135"/>
      <c r="G26" s="95"/>
      <c r="H26" s="134">
        <f>ROUND(G26/12,2)</f>
        <v>0</v>
      </c>
      <c r="I26" s="138">
        <f>H26*1</f>
        <v>0</v>
      </c>
      <c r="J26" s="135"/>
      <c r="K26" s="95"/>
      <c r="L26" s="134">
        <f>ROUND(K26/12,2)</f>
        <v>0</v>
      </c>
      <c r="M26" s="138">
        <f>L26*1</f>
        <v>0</v>
      </c>
      <c r="N26" s="135"/>
      <c r="O26" s="119">
        <f t="shared" si="0"/>
        <v>0</v>
      </c>
      <c r="P26" s="175">
        <f>ROUND(O26/24,2)</f>
        <v>0</v>
      </c>
      <c r="Q26" s="175">
        <f>P26*1</f>
        <v>0</v>
      </c>
      <c r="R26" s="176">
        <v>0</v>
      </c>
    </row>
    <row r="27" spans="1:18" x14ac:dyDescent="0.5">
      <c r="A27" s="55" t="s">
        <v>94</v>
      </c>
      <c r="B27" s="33" t="s">
        <v>3</v>
      </c>
      <c r="C27" s="95"/>
      <c r="D27" s="134">
        <f>ROUND(C27/18,2)</f>
        <v>0</v>
      </c>
      <c r="E27" s="134"/>
      <c r="F27" s="135">
        <f>SUM(D27,E28:E29)</f>
        <v>0</v>
      </c>
      <c r="G27" s="95"/>
      <c r="H27" s="134">
        <f>ROUND(G27/18,2)</f>
        <v>0</v>
      </c>
      <c r="I27" s="134"/>
      <c r="J27" s="135">
        <f>SUM(H27,I28:I29)</f>
        <v>0</v>
      </c>
      <c r="K27" s="106"/>
      <c r="L27" s="134">
        <f>ROUND(K27/18,2)</f>
        <v>0</v>
      </c>
      <c r="M27" s="134"/>
      <c r="N27" s="135">
        <f>SUM(L27,M28:M29)</f>
        <v>0</v>
      </c>
      <c r="O27" s="115">
        <f t="shared" si="0"/>
        <v>0</v>
      </c>
      <c r="P27" s="174">
        <f>ROUND(O27/36,2)</f>
        <v>0</v>
      </c>
      <c r="Q27" s="175"/>
      <c r="R27" s="176">
        <f>SUM(P27,Q28:Q29)</f>
        <v>0</v>
      </c>
    </row>
    <row r="28" spans="1:18" x14ac:dyDescent="0.5">
      <c r="A28" s="61"/>
      <c r="B28" s="33" t="s">
        <v>42</v>
      </c>
      <c r="C28" s="95"/>
      <c r="D28" s="134">
        <f>ROUND(C28/12,2)</f>
        <v>0</v>
      </c>
      <c r="E28" s="138">
        <f>D28*1</f>
        <v>0</v>
      </c>
      <c r="F28" s="135"/>
      <c r="G28" s="95"/>
      <c r="H28" s="134">
        <f>ROUND(G28/12,2)</f>
        <v>0</v>
      </c>
      <c r="I28" s="138">
        <f>H28*1</f>
        <v>0</v>
      </c>
      <c r="J28" s="135"/>
      <c r="K28" s="106"/>
      <c r="L28" s="134">
        <f>ROUND(K28/12,2)</f>
        <v>0</v>
      </c>
      <c r="M28" s="138">
        <f>L28*1</f>
        <v>0</v>
      </c>
      <c r="N28" s="135"/>
      <c r="O28" s="115">
        <f t="shared" si="0"/>
        <v>0</v>
      </c>
      <c r="P28" s="175">
        <f>ROUND(O28/24,2)</f>
        <v>0</v>
      </c>
      <c r="Q28" s="175">
        <f>P28*1</f>
        <v>0</v>
      </c>
      <c r="R28" s="176">
        <v>0</v>
      </c>
    </row>
    <row r="29" spans="1:18" x14ac:dyDescent="0.5">
      <c r="A29" s="61"/>
      <c r="B29" s="33" t="s">
        <v>43</v>
      </c>
      <c r="C29" s="95"/>
      <c r="D29" s="134">
        <f>ROUND(C29/12,2)</f>
        <v>0</v>
      </c>
      <c r="E29" s="138">
        <f>D29*1</f>
        <v>0</v>
      </c>
      <c r="F29" s="135"/>
      <c r="G29" s="95"/>
      <c r="H29" s="134">
        <f>ROUND(G29/12,2)</f>
        <v>0</v>
      </c>
      <c r="I29" s="138">
        <f>H29*1</f>
        <v>0</v>
      </c>
      <c r="J29" s="135"/>
      <c r="K29" s="106"/>
      <c r="L29" s="134">
        <f>ROUND(K29/12,2)</f>
        <v>0</v>
      </c>
      <c r="M29" s="138">
        <f>L29*1</f>
        <v>0</v>
      </c>
      <c r="N29" s="135"/>
      <c r="O29" s="119">
        <f t="shared" si="0"/>
        <v>0</v>
      </c>
      <c r="P29" s="175">
        <f>ROUND(O29/24,2)</f>
        <v>0</v>
      </c>
      <c r="Q29" s="175">
        <f>P29*1</f>
        <v>0</v>
      </c>
      <c r="R29" s="176">
        <v>0</v>
      </c>
    </row>
    <row r="30" spans="1:18" x14ac:dyDescent="0.5">
      <c r="A30" s="55" t="s">
        <v>95</v>
      </c>
      <c r="B30" s="33" t="s">
        <v>3</v>
      </c>
      <c r="C30" s="95"/>
      <c r="D30" s="134">
        <f>ROUND(C30/18,2)</f>
        <v>0</v>
      </c>
      <c r="E30" s="134"/>
      <c r="F30" s="135">
        <f>SUM(D30,E31:E32)</f>
        <v>0</v>
      </c>
      <c r="G30" s="95"/>
      <c r="H30" s="134">
        <f>ROUND(G30/18,2)</f>
        <v>0</v>
      </c>
      <c r="I30" s="134"/>
      <c r="J30" s="135">
        <f>SUM(H30,I31:I32)</f>
        <v>0</v>
      </c>
      <c r="K30" s="106"/>
      <c r="L30" s="134">
        <f>ROUND(K30/18,2)</f>
        <v>0</v>
      </c>
      <c r="M30" s="134"/>
      <c r="N30" s="135">
        <f>SUM(L30,M31:M32)</f>
        <v>0</v>
      </c>
      <c r="O30" s="115">
        <f t="shared" si="0"/>
        <v>0</v>
      </c>
      <c r="P30" s="174">
        <f>ROUND(O30/36,2)</f>
        <v>0</v>
      </c>
      <c r="Q30" s="175"/>
      <c r="R30" s="176">
        <f>SUM(P30,Q31:Q32)</f>
        <v>0</v>
      </c>
    </row>
    <row r="31" spans="1:18" x14ac:dyDescent="0.5">
      <c r="A31" s="61"/>
      <c r="B31" s="33" t="s">
        <v>42</v>
      </c>
      <c r="C31" s="95"/>
      <c r="D31" s="134">
        <f>ROUND(C31/12,2)</f>
        <v>0</v>
      </c>
      <c r="E31" s="138">
        <f>D31*1</f>
        <v>0</v>
      </c>
      <c r="F31" s="135"/>
      <c r="G31" s="95"/>
      <c r="H31" s="134">
        <f>ROUND(G31/12,2)</f>
        <v>0</v>
      </c>
      <c r="I31" s="138">
        <f>H31*1</f>
        <v>0</v>
      </c>
      <c r="J31" s="135"/>
      <c r="K31" s="106"/>
      <c r="L31" s="134">
        <f>ROUND(K31/12,2)</f>
        <v>0</v>
      </c>
      <c r="M31" s="138">
        <f>L31*1</f>
        <v>0</v>
      </c>
      <c r="N31" s="135"/>
      <c r="O31" s="115">
        <f t="shared" si="0"/>
        <v>0</v>
      </c>
      <c r="P31" s="175">
        <f>ROUND(O31/24,2)</f>
        <v>0</v>
      </c>
      <c r="Q31" s="175">
        <f>P31*1</f>
        <v>0</v>
      </c>
      <c r="R31" s="176">
        <v>0</v>
      </c>
    </row>
    <row r="32" spans="1:18" x14ac:dyDescent="0.5">
      <c r="A32" s="61"/>
      <c r="B32" s="33" t="s">
        <v>43</v>
      </c>
      <c r="C32" s="95"/>
      <c r="D32" s="134">
        <f>ROUND(C32/12,2)</f>
        <v>0</v>
      </c>
      <c r="E32" s="138">
        <f>D32*1</f>
        <v>0</v>
      </c>
      <c r="F32" s="135"/>
      <c r="G32" s="95"/>
      <c r="H32" s="134">
        <f>ROUND(G32/12,2)</f>
        <v>0</v>
      </c>
      <c r="I32" s="138">
        <f>H32*1</f>
        <v>0</v>
      </c>
      <c r="J32" s="135"/>
      <c r="K32" s="106"/>
      <c r="L32" s="134">
        <f>ROUND(K32/12,2)</f>
        <v>0</v>
      </c>
      <c r="M32" s="138">
        <f>L32*1</f>
        <v>0</v>
      </c>
      <c r="N32" s="135"/>
      <c r="O32" s="119">
        <f t="shared" si="0"/>
        <v>0</v>
      </c>
      <c r="P32" s="175">
        <f>ROUND(O32/24,2)</f>
        <v>0</v>
      </c>
      <c r="Q32" s="175">
        <f>P32*1</f>
        <v>0</v>
      </c>
      <c r="R32" s="176">
        <v>0</v>
      </c>
    </row>
    <row r="33" spans="1:18" x14ac:dyDescent="0.5">
      <c r="A33" s="55" t="s">
        <v>96</v>
      </c>
      <c r="B33" s="33" t="s">
        <v>3</v>
      </c>
      <c r="C33" s="95">
        <v>64</v>
      </c>
      <c r="D33" s="134">
        <f>ROUND(C33/18,2)</f>
        <v>3.56</v>
      </c>
      <c r="E33" s="134"/>
      <c r="F33" s="135">
        <f>SUM(D33,E34:E35)</f>
        <v>3.56</v>
      </c>
      <c r="G33" s="95"/>
      <c r="H33" s="134">
        <f>ROUND(G33/18,2)</f>
        <v>0</v>
      </c>
      <c r="I33" s="134"/>
      <c r="J33" s="135">
        <f>SUM(H33,I34:I35)</f>
        <v>0</v>
      </c>
      <c r="K33" s="106"/>
      <c r="L33" s="134">
        <f>ROUND(K33/18,2)</f>
        <v>0</v>
      </c>
      <c r="M33" s="134"/>
      <c r="N33" s="135">
        <f>SUM(L33,M34:M35)</f>
        <v>0</v>
      </c>
      <c r="O33" s="115">
        <f t="shared" si="0"/>
        <v>64</v>
      </c>
      <c r="P33" s="174">
        <f>ROUND(O33/36,2)</f>
        <v>1.78</v>
      </c>
      <c r="Q33" s="175"/>
      <c r="R33" s="176">
        <f>SUM(P33,Q34:Q35)</f>
        <v>1.78</v>
      </c>
    </row>
    <row r="34" spans="1:18" x14ac:dyDescent="0.5">
      <c r="A34" s="61"/>
      <c r="B34" s="33" t="s">
        <v>42</v>
      </c>
      <c r="C34" s="95"/>
      <c r="D34" s="134">
        <f>ROUND(C34/12,2)</f>
        <v>0</v>
      </c>
      <c r="E34" s="138">
        <f>D34*1</f>
        <v>0</v>
      </c>
      <c r="F34" s="135"/>
      <c r="G34" s="95"/>
      <c r="H34" s="134">
        <f>ROUND(G34/12,2)</f>
        <v>0</v>
      </c>
      <c r="I34" s="138">
        <f>H34*1</f>
        <v>0</v>
      </c>
      <c r="J34" s="135"/>
      <c r="K34" s="106"/>
      <c r="L34" s="134">
        <f>ROUND(K34/12,2)</f>
        <v>0</v>
      </c>
      <c r="M34" s="138">
        <f>L34*1</f>
        <v>0</v>
      </c>
      <c r="N34" s="135"/>
      <c r="O34" s="115">
        <f t="shared" si="0"/>
        <v>0</v>
      </c>
      <c r="P34" s="175">
        <f>ROUND(O34/24,2)</f>
        <v>0</v>
      </c>
      <c r="Q34" s="175">
        <f>P34*1</f>
        <v>0</v>
      </c>
      <c r="R34" s="176">
        <v>0</v>
      </c>
    </row>
    <row r="35" spans="1:18" x14ac:dyDescent="0.5">
      <c r="A35" s="61"/>
      <c r="B35" s="33" t="s">
        <v>43</v>
      </c>
      <c r="C35" s="95"/>
      <c r="D35" s="134">
        <f>ROUND(C35/12,2)</f>
        <v>0</v>
      </c>
      <c r="E35" s="138">
        <f>D35*1</f>
        <v>0</v>
      </c>
      <c r="F35" s="135"/>
      <c r="G35" s="95"/>
      <c r="H35" s="134">
        <f>ROUND(G35/12,2)</f>
        <v>0</v>
      </c>
      <c r="I35" s="138">
        <f>H35*1</f>
        <v>0</v>
      </c>
      <c r="J35" s="135"/>
      <c r="K35" s="106"/>
      <c r="L35" s="134">
        <f>ROUND(K35/12,2)</f>
        <v>0</v>
      </c>
      <c r="M35" s="138">
        <f>L35*1</f>
        <v>0</v>
      </c>
      <c r="N35" s="135"/>
      <c r="O35" s="119">
        <f t="shared" si="0"/>
        <v>0</v>
      </c>
      <c r="P35" s="175">
        <f>ROUND(O35/24,2)</f>
        <v>0</v>
      </c>
      <c r="Q35" s="175">
        <f>P35*1</f>
        <v>0</v>
      </c>
      <c r="R35" s="176">
        <v>0</v>
      </c>
    </row>
    <row r="36" spans="1:18" x14ac:dyDescent="0.5">
      <c r="A36" s="55" t="s">
        <v>97</v>
      </c>
      <c r="B36" s="33" t="s">
        <v>3</v>
      </c>
      <c r="C36" s="95"/>
      <c r="D36" s="134">
        <f>ROUND(C36/18,2)</f>
        <v>0</v>
      </c>
      <c r="E36" s="134"/>
      <c r="F36" s="135">
        <f>SUM(D36,E37:E38)</f>
        <v>0</v>
      </c>
      <c r="G36" s="95"/>
      <c r="H36" s="134">
        <f>ROUND(G36/18,2)</f>
        <v>0</v>
      </c>
      <c r="I36" s="134"/>
      <c r="J36" s="135">
        <f>SUM(H36,I37:I38)</f>
        <v>0</v>
      </c>
      <c r="K36" s="106"/>
      <c r="L36" s="134">
        <f>ROUND(K36/18,2)</f>
        <v>0</v>
      </c>
      <c r="M36" s="134"/>
      <c r="N36" s="135">
        <f>SUM(L36,M37:M38)</f>
        <v>0</v>
      </c>
      <c r="O36" s="115">
        <f t="shared" si="0"/>
        <v>0</v>
      </c>
      <c r="P36" s="174">
        <f>ROUND(O36/36,2)</f>
        <v>0</v>
      </c>
      <c r="Q36" s="175"/>
      <c r="R36" s="176">
        <f>SUM(P36,Q37:Q38)</f>
        <v>0</v>
      </c>
    </row>
    <row r="37" spans="1:18" x14ac:dyDescent="0.5">
      <c r="A37" s="61"/>
      <c r="B37" s="33" t="s">
        <v>42</v>
      </c>
      <c r="C37" s="95"/>
      <c r="D37" s="134">
        <f>ROUND(C37/12,2)</f>
        <v>0</v>
      </c>
      <c r="E37" s="138">
        <f>D37*1</f>
        <v>0</v>
      </c>
      <c r="F37" s="135"/>
      <c r="G37" s="95"/>
      <c r="H37" s="134">
        <f>ROUND(G37/12,2)</f>
        <v>0</v>
      </c>
      <c r="I37" s="138">
        <f>H37*1</f>
        <v>0</v>
      </c>
      <c r="J37" s="135"/>
      <c r="K37" s="106"/>
      <c r="L37" s="134">
        <f>ROUND(K37/12,2)</f>
        <v>0</v>
      </c>
      <c r="M37" s="138">
        <f>L37*1</f>
        <v>0</v>
      </c>
      <c r="N37" s="135"/>
      <c r="O37" s="115">
        <f t="shared" si="0"/>
        <v>0</v>
      </c>
      <c r="P37" s="175">
        <f>ROUND(O37/24,2)</f>
        <v>0</v>
      </c>
      <c r="Q37" s="175">
        <f>P37*1</f>
        <v>0</v>
      </c>
      <c r="R37" s="176">
        <v>0</v>
      </c>
    </row>
    <row r="38" spans="1:18" x14ac:dyDescent="0.5">
      <c r="A38" s="61"/>
      <c r="B38" s="33" t="s">
        <v>43</v>
      </c>
      <c r="C38" s="95"/>
      <c r="D38" s="134">
        <f>ROUND(C38/12,2)</f>
        <v>0</v>
      </c>
      <c r="E38" s="138">
        <f>D38*1</f>
        <v>0</v>
      </c>
      <c r="F38" s="135"/>
      <c r="G38" s="95"/>
      <c r="H38" s="134">
        <f>ROUND(G38/12,2)</f>
        <v>0</v>
      </c>
      <c r="I38" s="138">
        <f>H38*1</f>
        <v>0</v>
      </c>
      <c r="J38" s="135"/>
      <c r="K38" s="106"/>
      <c r="L38" s="134">
        <f>ROUND(K38/12,2)</f>
        <v>0</v>
      </c>
      <c r="M38" s="138">
        <f>L38*1</f>
        <v>0</v>
      </c>
      <c r="N38" s="135"/>
      <c r="O38" s="119">
        <f t="shared" si="0"/>
        <v>0</v>
      </c>
      <c r="P38" s="175">
        <f>ROUND(O38/24,2)</f>
        <v>0</v>
      </c>
      <c r="Q38" s="175">
        <f>P38*1</f>
        <v>0</v>
      </c>
      <c r="R38" s="176">
        <v>0</v>
      </c>
    </row>
    <row r="39" spans="1:18" x14ac:dyDescent="0.5">
      <c r="A39" s="55" t="s">
        <v>98</v>
      </c>
      <c r="B39" s="33" t="s">
        <v>3</v>
      </c>
      <c r="C39" s="95"/>
      <c r="D39" s="134">
        <f>ROUND(C39/18,2)</f>
        <v>0</v>
      </c>
      <c r="E39" s="134"/>
      <c r="F39" s="135">
        <f>SUM(D39,E40:E41)</f>
        <v>0</v>
      </c>
      <c r="G39" s="95"/>
      <c r="H39" s="134">
        <f>ROUND(G39/18,2)</f>
        <v>0</v>
      </c>
      <c r="I39" s="134"/>
      <c r="J39" s="135">
        <f>SUM(H39,I40:I41)</f>
        <v>0</v>
      </c>
      <c r="K39" s="106"/>
      <c r="L39" s="134">
        <f>ROUND(K39/18,2)</f>
        <v>0</v>
      </c>
      <c r="M39" s="134"/>
      <c r="N39" s="135">
        <f>SUM(L39,M40:M41)</f>
        <v>0</v>
      </c>
      <c r="O39" s="115">
        <f t="shared" si="0"/>
        <v>0</v>
      </c>
      <c r="P39" s="174">
        <f>ROUND(O39/36,2)</f>
        <v>0</v>
      </c>
      <c r="Q39" s="175"/>
      <c r="R39" s="176">
        <f>SUM(P39,Q40:Q41)</f>
        <v>0</v>
      </c>
    </row>
    <row r="40" spans="1:18" x14ac:dyDescent="0.5">
      <c r="A40" s="61"/>
      <c r="B40" s="33" t="s">
        <v>42</v>
      </c>
      <c r="C40" s="95"/>
      <c r="D40" s="134">
        <f>ROUND(C40/12,2)</f>
        <v>0</v>
      </c>
      <c r="E40" s="138">
        <f>D40*1</f>
        <v>0</v>
      </c>
      <c r="F40" s="135"/>
      <c r="G40" s="95"/>
      <c r="H40" s="134">
        <f>ROUND(G40/12,2)</f>
        <v>0</v>
      </c>
      <c r="I40" s="138">
        <f>H40*1</f>
        <v>0</v>
      </c>
      <c r="J40" s="135"/>
      <c r="K40" s="106"/>
      <c r="L40" s="134">
        <f>ROUND(K40/12,2)</f>
        <v>0</v>
      </c>
      <c r="M40" s="138">
        <f>L40*1</f>
        <v>0</v>
      </c>
      <c r="N40" s="135"/>
      <c r="O40" s="115">
        <f t="shared" si="0"/>
        <v>0</v>
      </c>
      <c r="P40" s="175">
        <f>ROUND(O40/24,2)</f>
        <v>0</v>
      </c>
      <c r="Q40" s="175">
        <f>P40*1</f>
        <v>0</v>
      </c>
      <c r="R40" s="176">
        <v>0</v>
      </c>
    </row>
    <row r="41" spans="1:18" x14ac:dyDescent="0.5">
      <c r="A41" s="61"/>
      <c r="B41" s="33" t="s">
        <v>43</v>
      </c>
      <c r="C41" s="95"/>
      <c r="D41" s="134">
        <f>ROUND(C41/12,2)</f>
        <v>0</v>
      </c>
      <c r="E41" s="138">
        <f>D41*1</f>
        <v>0</v>
      </c>
      <c r="F41" s="135"/>
      <c r="G41" s="95"/>
      <c r="H41" s="134">
        <f>ROUND(G41/12,2)</f>
        <v>0</v>
      </c>
      <c r="I41" s="138">
        <f>H41*1</f>
        <v>0</v>
      </c>
      <c r="J41" s="135"/>
      <c r="K41" s="106"/>
      <c r="L41" s="134">
        <f>ROUND(K41/12,2)</f>
        <v>0</v>
      </c>
      <c r="M41" s="138">
        <f>L41*1</f>
        <v>0</v>
      </c>
      <c r="N41" s="135"/>
      <c r="O41" s="119">
        <f t="shared" si="0"/>
        <v>0</v>
      </c>
      <c r="P41" s="175">
        <f>ROUND(O41/24,2)</f>
        <v>0</v>
      </c>
      <c r="Q41" s="175">
        <f>P41*1</f>
        <v>0</v>
      </c>
      <c r="R41" s="176">
        <v>0</v>
      </c>
    </row>
    <row r="42" spans="1:18" x14ac:dyDescent="0.5">
      <c r="A42" s="55" t="s">
        <v>104</v>
      </c>
      <c r="B42" s="33" t="s">
        <v>3</v>
      </c>
      <c r="C42" s="95"/>
      <c r="D42" s="134">
        <f>ROUND(C42/18,2)</f>
        <v>0</v>
      </c>
      <c r="E42" s="134"/>
      <c r="F42" s="135">
        <f>SUM(D42,E43:E44)</f>
        <v>0</v>
      </c>
      <c r="G42" s="95">
        <v>192</v>
      </c>
      <c r="H42" s="134">
        <f>ROUND(G42/18,2)</f>
        <v>10.67</v>
      </c>
      <c r="I42" s="134"/>
      <c r="J42" s="135">
        <f>SUM(H42,I43:I44)</f>
        <v>10.67</v>
      </c>
      <c r="K42" s="106"/>
      <c r="L42" s="134">
        <f>ROUND(K42/18,2)</f>
        <v>0</v>
      </c>
      <c r="M42" s="134"/>
      <c r="N42" s="135">
        <f>SUM(L42,M43:M44)</f>
        <v>0</v>
      </c>
      <c r="O42" s="115">
        <f t="shared" si="0"/>
        <v>192</v>
      </c>
      <c r="P42" s="174">
        <f>ROUND(O42/36,2)</f>
        <v>5.33</v>
      </c>
      <c r="Q42" s="175"/>
      <c r="R42" s="176">
        <f>SUM(P42,Q43:Q44)</f>
        <v>5.33</v>
      </c>
    </row>
    <row r="43" spans="1:18" x14ac:dyDescent="0.5">
      <c r="A43" s="61"/>
      <c r="B43" s="33" t="s">
        <v>42</v>
      </c>
      <c r="C43" s="95"/>
      <c r="D43" s="134">
        <f>ROUND(C43/12,2)</f>
        <v>0</v>
      </c>
      <c r="E43" s="138">
        <f>D43*1</f>
        <v>0</v>
      </c>
      <c r="F43" s="135"/>
      <c r="G43" s="95"/>
      <c r="H43" s="134">
        <f>ROUND(G43/12,2)</f>
        <v>0</v>
      </c>
      <c r="I43" s="138">
        <f>H43*1</f>
        <v>0</v>
      </c>
      <c r="J43" s="135"/>
      <c r="K43" s="106"/>
      <c r="L43" s="134">
        <f>ROUND(K43/12,2)</f>
        <v>0</v>
      </c>
      <c r="M43" s="138">
        <f>L43*1</f>
        <v>0</v>
      </c>
      <c r="N43" s="135"/>
      <c r="O43" s="115">
        <f t="shared" si="0"/>
        <v>0</v>
      </c>
      <c r="P43" s="175">
        <f>ROUND(O43/24,2)</f>
        <v>0</v>
      </c>
      <c r="Q43" s="175">
        <f>P43*1</f>
        <v>0</v>
      </c>
      <c r="R43" s="176">
        <v>0</v>
      </c>
    </row>
    <row r="44" spans="1:18" x14ac:dyDescent="0.5">
      <c r="A44" s="61"/>
      <c r="B44" s="33" t="s">
        <v>43</v>
      </c>
      <c r="C44" s="95"/>
      <c r="D44" s="134">
        <f>ROUND(C44/12,2)</f>
        <v>0</v>
      </c>
      <c r="E44" s="138">
        <f>D44*1</f>
        <v>0</v>
      </c>
      <c r="F44" s="135"/>
      <c r="G44" s="95"/>
      <c r="H44" s="134">
        <f>ROUND(G44/12,2)</f>
        <v>0</v>
      </c>
      <c r="I44" s="138">
        <f>H44*1</f>
        <v>0</v>
      </c>
      <c r="J44" s="135"/>
      <c r="K44" s="106"/>
      <c r="L44" s="134">
        <f>ROUND(K44/12,2)</f>
        <v>0</v>
      </c>
      <c r="M44" s="138">
        <f>L44*1</f>
        <v>0</v>
      </c>
      <c r="N44" s="135"/>
      <c r="O44" s="119">
        <f t="shared" si="0"/>
        <v>0</v>
      </c>
      <c r="P44" s="175">
        <f>ROUND(O44/24,2)</f>
        <v>0</v>
      </c>
      <c r="Q44" s="175">
        <f>P44*1</f>
        <v>0</v>
      </c>
      <c r="R44" s="176">
        <v>0</v>
      </c>
    </row>
    <row r="45" spans="1:18" x14ac:dyDescent="0.5">
      <c r="A45" s="55" t="s">
        <v>99</v>
      </c>
      <c r="B45" s="33" t="s">
        <v>3</v>
      </c>
      <c r="C45" s="95">
        <v>64</v>
      </c>
      <c r="D45" s="134">
        <f>ROUND(C45/18,2)</f>
        <v>3.56</v>
      </c>
      <c r="E45" s="134"/>
      <c r="F45" s="135">
        <f>SUM(D45,E46:E47)</f>
        <v>3.56</v>
      </c>
      <c r="G45" s="95"/>
      <c r="H45" s="134">
        <f>ROUND(G45/18,2)</f>
        <v>0</v>
      </c>
      <c r="I45" s="134"/>
      <c r="J45" s="135">
        <f>SUM(H45,I46:I47)</f>
        <v>0</v>
      </c>
      <c r="K45" s="106"/>
      <c r="L45" s="134">
        <f>ROUND(K45/18,2)</f>
        <v>0</v>
      </c>
      <c r="M45" s="134"/>
      <c r="N45" s="135">
        <f>SUM(L45,M46:M47)</f>
        <v>0</v>
      </c>
      <c r="O45" s="115">
        <f t="shared" si="0"/>
        <v>64</v>
      </c>
      <c r="P45" s="174">
        <f>ROUND(O45/36,2)</f>
        <v>1.78</v>
      </c>
      <c r="Q45" s="175"/>
      <c r="R45" s="176">
        <f>SUM(P45,Q46:Q47)</f>
        <v>1.78</v>
      </c>
    </row>
    <row r="46" spans="1:18" x14ac:dyDescent="0.5">
      <c r="A46" s="61"/>
      <c r="B46" s="33" t="s">
        <v>42</v>
      </c>
      <c r="C46" s="95"/>
      <c r="D46" s="134">
        <f>ROUND(C46/12,2)</f>
        <v>0</v>
      </c>
      <c r="E46" s="138">
        <f>D46*1</f>
        <v>0</v>
      </c>
      <c r="F46" s="135"/>
      <c r="G46" s="95"/>
      <c r="H46" s="134">
        <f>ROUND(G46/12,2)</f>
        <v>0</v>
      </c>
      <c r="I46" s="138">
        <f>H46*1</f>
        <v>0</v>
      </c>
      <c r="J46" s="135"/>
      <c r="K46" s="106"/>
      <c r="L46" s="134">
        <f>ROUND(K46/12,2)</f>
        <v>0</v>
      </c>
      <c r="M46" s="138">
        <f>L46*1</f>
        <v>0</v>
      </c>
      <c r="N46" s="135"/>
      <c r="O46" s="115">
        <f t="shared" si="0"/>
        <v>0</v>
      </c>
      <c r="P46" s="175">
        <f>ROUND(O46/24,2)</f>
        <v>0</v>
      </c>
      <c r="Q46" s="175">
        <f>P46*1</f>
        <v>0</v>
      </c>
      <c r="R46" s="176">
        <v>0</v>
      </c>
    </row>
    <row r="47" spans="1:18" x14ac:dyDescent="0.5">
      <c r="A47" s="61"/>
      <c r="B47" s="33" t="s">
        <v>43</v>
      </c>
      <c r="C47" s="95"/>
      <c r="D47" s="134">
        <f>ROUND(C47/12,2)</f>
        <v>0</v>
      </c>
      <c r="E47" s="138">
        <f>D47*1</f>
        <v>0</v>
      </c>
      <c r="F47" s="135"/>
      <c r="G47" s="95"/>
      <c r="H47" s="134">
        <f>ROUND(G47/12,2)</f>
        <v>0</v>
      </c>
      <c r="I47" s="138">
        <f>H47*1</f>
        <v>0</v>
      </c>
      <c r="J47" s="135"/>
      <c r="K47" s="106"/>
      <c r="L47" s="134">
        <f>ROUND(K47/12,2)</f>
        <v>0</v>
      </c>
      <c r="M47" s="138">
        <f>L47*1</f>
        <v>0</v>
      </c>
      <c r="N47" s="135"/>
      <c r="O47" s="119">
        <f t="shared" si="0"/>
        <v>0</v>
      </c>
      <c r="P47" s="175">
        <f>ROUND(O47/24,2)</f>
        <v>0</v>
      </c>
      <c r="Q47" s="175">
        <f>P47*1</f>
        <v>0</v>
      </c>
      <c r="R47" s="176">
        <v>0</v>
      </c>
    </row>
    <row r="48" spans="1:18" x14ac:dyDescent="0.5">
      <c r="A48" s="54" t="s">
        <v>56</v>
      </c>
      <c r="B48" s="38" t="s">
        <v>3</v>
      </c>
      <c r="C48" s="78">
        <f>SUM(C21,C24,C27,C30,C33,C36,C39,C42,C45)</f>
        <v>6812</v>
      </c>
      <c r="D48" s="140">
        <f>ROUND(C48/18,2)</f>
        <v>378.44</v>
      </c>
      <c r="E48" s="140"/>
      <c r="F48" s="141">
        <f>SUM(D48,E49:E50)</f>
        <v>378.44</v>
      </c>
      <c r="G48" s="78">
        <f>SUM(G21,G24,G27,G30,G33,G36,G39,G42,G45)</f>
        <v>570</v>
      </c>
      <c r="H48" s="140">
        <f>ROUND(G48/18,2)</f>
        <v>31.67</v>
      </c>
      <c r="I48" s="140"/>
      <c r="J48" s="141">
        <f>SUM(H48,I49:I50)</f>
        <v>31.67</v>
      </c>
      <c r="K48" s="78">
        <f>SUM(K21,K24,K27,K30,K33,K36,K39,K42,K45)</f>
        <v>380</v>
      </c>
      <c r="L48" s="140">
        <f>ROUND(K48/18,2)</f>
        <v>21.11</v>
      </c>
      <c r="M48" s="140"/>
      <c r="N48" s="141">
        <f>SUM(L48,M49:M50)</f>
        <v>21.11</v>
      </c>
      <c r="O48" s="120">
        <f t="shared" si="0"/>
        <v>7762</v>
      </c>
      <c r="P48" s="184">
        <f>ROUND(O48/36,2)</f>
        <v>215.61</v>
      </c>
      <c r="Q48" s="185"/>
      <c r="R48" s="176">
        <f>SUM(P48,Q49:Q50)</f>
        <v>215.61</v>
      </c>
    </row>
    <row r="49" spans="1:18" x14ac:dyDescent="0.5">
      <c r="A49" s="55"/>
      <c r="B49" s="38" t="s">
        <v>42</v>
      </c>
      <c r="C49" s="78">
        <f>SUM(C22,C25,C28,C31,C34,C37,C40,C43,C46)</f>
        <v>0</v>
      </c>
      <c r="D49" s="140">
        <f>ROUND(C49/12,2)</f>
        <v>0</v>
      </c>
      <c r="E49" s="140">
        <f>D49*1</f>
        <v>0</v>
      </c>
      <c r="F49" s="141"/>
      <c r="G49" s="78">
        <f>SUM(G22,G25,G28,G31,G34,G37,G40,G43,G46)</f>
        <v>0</v>
      </c>
      <c r="H49" s="140">
        <f>ROUND(G49/12,2)</f>
        <v>0</v>
      </c>
      <c r="I49" s="140">
        <f>H49*1</f>
        <v>0</v>
      </c>
      <c r="J49" s="141"/>
      <c r="K49" s="78">
        <f>SUM(K22,K25,K28,K31,K34,K37,K40,K43,K46)</f>
        <v>0</v>
      </c>
      <c r="L49" s="140">
        <f>ROUND(K49/12,2)</f>
        <v>0</v>
      </c>
      <c r="M49" s="140">
        <f>L49*1</f>
        <v>0</v>
      </c>
      <c r="N49" s="141"/>
      <c r="O49" s="120">
        <f t="shared" si="0"/>
        <v>0</v>
      </c>
      <c r="P49" s="184">
        <f>ROUND(O49/24,2)</f>
        <v>0</v>
      </c>
      <c r="Q49" s="185">
        <f>P49*1</f>
        <v>0</v>
      </c>
      <c r="R49" s="176">
        <v>0</v>
      </c>
    </row>
    <row r="50" spans="1:18" ht="22.5" thickBot="1" x14ac:dyDescent="0.55000000000000004">
      <c r="A50" s="60"/>
      <c r="B50" s="39" t="s">
        <v>43</v>
      </c>
      <c r="C50" s="79">
        <f>SUM(C23,C26,C29,C32,C35,C38,C41,C44,C47)</f>
        <v>0</v>
      </c>
      <c r="D50" s="142">
        <f>ROUND(C50/12,2)</f>
        <v>0</v>
      </c>
      <c r="E50" s="142">
        <f>D50*1</f>
        <v>0</v>
      </c>
      <c r="F50" s="143"/>
      <c r="G50" s="79">
        <f>SUM(G23,G26,G29,G32,G35,G38,G41,G44,G47)</f>
        <v>0</v>
      </c>
      <c r="H50" s="142">
        <f>ROUND(G50/12,2)</f>
        <v>0</v>
      </c>
      <c r="I50" s="142">
        <f>H50*1</f>
        <v>0</v>
      </c>
      <c r="J50" s="143"/>
      <c r="K50" s="79">
        <f>SUM(K23,K26,K29,K32,K35,K38,K41,K44,K47)</f>
        <v>0</v>
      </c>
      <c r="L50" s="142">
        <f>ROUND(K50/12,2)</f>
        <v>0</v>
      </c>
      <c r="M50" s="142">
        <f>L50*1</f>
        <v>0</v>
      </c>
      <c r="N50" s="143"/>
      <c r="O50" s="121">
        <f t="shared" si="0"/>
        <v>0</v>
      </c>
      <c r="P50" s="186">
        <f>ROUND(O50/24,2)</f>
        <v>0</v>
      </c>
      <c r="Q50" s="187">
        <f>P50*1</f>
        <v>0</v>
      </c>
      <c r="R50" s="179">
        <v>0</v>
      </c>
    </row>
    <row r="51" spans="1:18" x14ac:dyDescent="0.5">
      <c r="A51" s="58" t="s">
        <v>8</v>
      </c>
      <c r="B51" s="36"/>
      <c r="C51" s="97"/>
      <c r="D51" s="138"/>
      <c r="E51" s="138"/>
      <c r="F51" s="139"/>
      <c r="G51" s="97"/>
      <c r="H51" s="138"/>
      <c r="I51" s="168"/>
      <c r="J51" s="139"/>
      <c r="K51" s="110"/>
      <c r="L51" s="138"/>
      <c r="M51" s="138"/>
      <c r="N51" s="139"/>
      <c r="O51" s="117"/>
      <c r="P51" s="183"/>
      <c r="Q51" s="181"/>
      <c r="R51" s="182"/>
    </row>
    <row r="52" spans="1:18" x14ac:dyDescent="0.5">
      <c r="A52" s="55" t="s">
        <v>41</v>
      </c>
      <c r="B52" s="33" t="s">
        <v>3</v>
      </c>
      <c r="C52" s="95">
        <f>10464+870</f>
        <v>11334</v>
      </c>
      <c r="D52" s="134">
        <f>ROUND(C52/18,2)</f>
        <v>629.66999999999996</v>
      </c>
      <c r="E52" s="134"/>
      <c r="F52" s="135">
        <f>SUM(D52,E53:E54)</f>
        <v>691.01</v>
      </c>
      <c r="G52" s="95">
        <f>7695+294</f>
        <v>7989</v>
      </c>
      <c r="H52" s="134">
        <f>ROUND(G52/18,2)</f>
        <v>443.83</v>
      </c>
      <c r="I52" s="134"/>
      <c r="J52" s="135">
        <f>SUM(H52,I53:I54)</f>
        <v>490.83</v>
      </c>
      <c r="K52" s="106">
        <f>33</f>
        <v>33</v>
      </c>
      <c r="L52" s="134">
        <f>ROUND(K52/18,2)</f>
        <v>1.83</v>
      </c>
      <c r="M52" s="134"/>
      <c r="N52" s="135">
        <f>SUM(L52,M53:M54)</f>
        <v>1.83</v>
      </c>
      <c r="O52" s="115">
        <f>SUM(C52,G52,K52)</f>
        <v>19356</v>
      </c>
      <c r="P52" s="174">
        <f>ROUND(O52/36,2)</f>
        <v>537.66999999999996</v>
      </c>
      <c r="Q52" s="175" t="s">
        <v>44</v>
      </c>
      <c r="R52" s="176">
        <f>SUM(P52,Q53:Q54)</f>
        <v>591.84999999999991</v>
      </c>
    </row>
    <row r="53" spans="1:18" x14ac:dyDescent="0.5">
      <c r="A53" s="67"/>
      <c r="B53" s="33" t="s">
        <v>42</v>
      </c>
      <c r="C53" s="95">
        <f>255</f>
        <v>255</v>
      </c>
      <c r="D53" s="134">
        <f>ROUND(C53/12,2)</f>
        <v>21.25</v>
      </c>
      <c r="E53" s="134">
        <f>D53*2</f>
        <v>42.5</v>
      </c>
      <c r="F53" s="135"/>
      <c r="G53" s="95">
        <f>156</f>
        <v>156</v>
      </c>
      <c r="H53" s="134">
        <f>ROUND(G53/12,2)</f>
        <v>13</v>
      </c>
      <c r="I53" s="134">
        <f>H53*2</f>
        <v>26</v>
      </c>
      <c r="J53" s="135"/>
      <c r="K53" s="106"/>
      <c r="L53" s="134">
        <f>ROUND(K53/12,2)</f>
        <v>0</v>
      </c>
      <c r="M53" s="134">
        <f>L53*2</f>
        <v>0</v>
      </c>
      <c r="N53" s="135"/>
      <c r="O53" s="115">
        <f>SUM(C53,G53,K53)</f>
        <v>411</v>
      </c>
      <c r="P53" s="174">
        <f>ROUND(O53/24,2)</f>
        <v>17.13</v>
      </c>
      <c r="Q53" s="175">
        <f>P53*2</f>
        <v>34.26</v>
      </c>
      <c r="R53" s="176">
        <v>0</v>
      </c>
    </row>
    <row r="54" spans="1:18" ht="22.5" thickBot="1" x14ac:dyDescent="0.55000000000000004">
      <c r="A54" s="62"/>
      <c r="B54" s="34" t="s">
        <v>43</v>
      </c>
      <c r="C54" s="96">
        <f>113</f>
        <v>113</v>
      </c>
      <c r="D54" s="136">
        <f>ROUND(C54/12,2)</f>
        <v>9.42</v>
      </c>
      <c r="E54" s="136">
        <f>D54*2</f>
        <v>18.84</v>
      </c>
      <c r="F54" s="137"/>
      <c r="G54" s="96">
        <f>126</f>
        <v>126</v>
      </c>
      <c r="H54" s="136">
        <f>ROUND(G54/12,2)</f>
        <v>10.5</v>
      </c>
      <c r="I54" s="136">
        <f>H54*2</f>
        <v>21</v>
      </c>
      <c r="J54" s="137"/>
      <c r="K54" s="109"/>
      <c r="L54" s="136">
        <f>ROUND(K54/12,2)</f>
        <v>0</v>
      </c>
      <c r="M54" s="136">
        <f>L54*2</f>
        <v>0</v>
      </c>
      <c r="N54" s="137"/>
      <c r="O54" s="116">
        <f>SUM(C54,G54,K54)</f>
        <v>239</v>
      </c>
      <c r="P54" s="177">
        <f>ROUND(O54/24,2)</f>
        <v>9.9600000000000009</v>
      </c>
      <c r="Q54" s="178">
        <f>P54*2</f>
        <v>19.920000000000002</v>
      </c>
      <c r="R54" s="179">
        <v>0</v>
      </c>
    </row>
    <row r="55" spans="1:18" x14ac:dyDescent="0.5">
      <c r="A55" s="58" t="s">
        <v>9</v>
      </c>
      <c r="B55" s="36"/>
      <c r="C55" s="97"/>
      <c r="D55" s="138"/>
      <c r="E55" s="138"/>
      <c r="F55" s="139"/>
      <c r="G55" s="97"/>
      <c r="H55" s="138"/>
      <c r="I55" s="168"/>
      <c r="J55" s="139"/>
      <c r="K55" s="110"/>
      <c r="L55" s="138"/>
      <c r="M55" s="138"/>
      <c r="N55" s="139"/>
      <c r="O55" s="117"/>
      <c r="P55" s="183"/>
      <c r="Q55" s="181"/>
      <c r="R55" s="182"/>
    </row>
    <row r="56" spans="1:18" x14ac:dyDescent="0.5">
      <c r="A56" s="55" t="s">
        <v>41</v>
      </c>
      <c r="B56" s="33" t="s">
        <v>3</v>
      </c>
      <c r="C56" s="95">
        <f>6366+859</f>
        <v>7225</v>
      </c>
      <c r="D56" s="134">
        <f>ROUND(C56/18,2)</f>
        <v>401.39</v>
      </c>
      <c r="E56" s="134"/>
      <c r="F56" s="135">
        <f>SUM(D56,E57:E58)</f>
        <v>401.39</v>
      </c>
      <c r="G56" s="95">
        <f>5662+228</f>
        <v>5890</v>
      </c>
      <c r="H56" s="134">
        <f>ROUND(G56/18,2)</f>
        <v>327.22000000000003</v>
      </c>
      <c r="I56" s="134"/>
      <c r="J56" s="135">
        <f>SUM(H56,I57:I58)</f>
        <v>327.22000000000003</v>
      </c>
      <c r="K56" s="106">
        <f>241+10</f>
        <v>251</v>
      </c>
      <c r="L56" s="134">
        <f>ROUND(K56/18,2)</f>
        <v>13.94</v>
      </c>
      <c r="M56" s="134"/>
      <c r="N56" s="135">
        <f>SUM(L56,M57:M58)</f>
        <v>13.94</v>
      </c>
      <c r="O56" s="115">
        <f>SUM(C56,G56,K56)</f>
        <v>13366</v>
      </c>
      <c r="P56" s="174">
        <f>ROUND(O56/36,2)</f>
        <v>371.28</v>
      </c>
      <c r="Q56" s="175">
        <v>0</v>
      </c>
      <c r="R56" s="176">
        <f>SUM(P56,Q57:Q58)</f>
        <v>371.28</v>
      </c>
    </row>
    <row r="57" spans="1:18" x14ac:dyDescent="0.5">
      <c r="A57" s="61"/>
      <c r="B57" s="33" t="s">
        <v>42</v>
      </c>
      <c r="C57" s="95"/>
      <c r="D57" s="134">
        <f>ROUND(C57/12,2)</f>
        <v>0</v>
      </c>
      <c r="E57" s="134">
        <f>D57*1</f>
        <v>0</v>
      </c>
      <c r="F57" s="135"/>
      <c r="G57" s="95"/>
      <c r="H57" s="134">
        <f>ROUND(G57/12,2)</f>
        <v>0</v>
      </c>
      <c r="I57" s="134">
        <f>H57*1</f>
        <v>0</v>
      </c>
      <c r="J57" s="135"/>
      <c r="K57" s="95"/>
      <c r="L57" s="134">
        <f>ROUND(K57/12,2)</f>
        <v>0</v>
      </c>
      <c r="M57" s="134">
        <f>L57*1</f>
        <v>0</v>
      </c>
      <c r="N57" s="135"/>
      <c r="O57" s="115">
        <f>SUM(C57,G57,K57)</f>
        <v>0</v>
      </c>
      <c r="P57" s="174">
        <f>ROUND(O57/24,2)</f>
        <v>0</v>
      </c>
      <c r="Q57" s="175">
        <f>P57*1</f>
        <v>0</v>
      </c>
      <c r="R57" s="176">
        <v>0</v>
      </c>
    </row>
    <row r="58" spans="1:18" ht="22.5" thickBot="1" x14ac:dyDescent="0.55000000000000004">
      <c r="A58" s="62"/>
      <c r="B58" s="34" t="s">
        <v>43</v>
      </c>
      <c r="C58" s="96"/>
      <c r="D58" s="136">
        <f>ROUND(C58/12,2)</f>
        <v>0</v>
      </c>
      <c r="E58" s="136">
        <f>D58*1</f>
        <v>0</v>
      </c>
      <c r="F58" s="137"/>
      <c r="G58" s="96"/>
      <c r="H58" s="136">
        <f>ROUND(G58/12,2)</f>
        <v>0</v>
      </c>
      <c r="I58" s="136">
        <f>H58*1</f>
        <v>0</v>
      </c>
      <c r="J58" s="137"/>
      <c r="K58" s="96"/>
      <c r="L58" s="136">
        <f>ROUND(K58/12,2)</f>
        <v>0</v>
      </c>
      <c r="M58" s="136">
        <f>L58*1</f>
        <v>0</v>
      </c>
      <c r="N58" s="137"/>
      <c r="O58" s="116">
        <f>SUM(C58,G58,K58)</f>
        <v>0</v>
      </c>
      <c r="P58" s="177">
        <f>ROUND(O58/24,2)</f>
        <v>0</v>
      </c>
      <c r="Q58" s="178">
        <f>P58*1</f>
        <v>0</v>
      </c>
      <c r="R58" s="179">
        <v>0</v>
      </c>
    </row>
    <row r="59" spans="1:18" x14ac:dyDescent="0.5">
      <c r="A59" s="58" t="s">
        <v>10</v>
      </c>
      <c r="B59" s="36"/>
      <c r="C59" s="97"/>
      <c r="D59" s="138"/>
      <c r="E59" s="138"/>
      <c r="F59" s="139"/>
      <c r="G59" s="97"/>
      <c r="H59" s="138"/>
      <c r="I59" s="168"/>
      <c r="J59" s="139"/>
      <c r="K59" s="108"/>
      <c r="L59" s="138"/>
      <c r="M59" s="138"/>
      <c r="N59" s="139"/>
      <c r="O59" s="118"/>
      <c r="P59" s="183"/>
      <c r="Q59" s="181"/>
      <c r="R59" s="182"/>
    </row>
    <row r="60" spans="1:18" x14ac:dyDescent="0.5">
      <c r="A60" s="55" t="s">
        <v>45</v>
      </c>
      <c r="B60" s="33" t="s">
        <v>3</v>
      </c>
      <c r="C60" s="95">
        <v>4400</v>
      </c>
      <c r="D60" s="134">
        <f>ROUND(C60/18,2)</f>
        <v>244.44</v>
      </c>
      <c r="E60" s="134"/>
      <c r="F60" s="135">
        <f>SUM(D60,E61:E62)</f>
        <v>244.44</v>
      </c>
      <c r="G60" s="95">
        <v>5022</v>
      </c>
      <c r="H60" s="134">
        <f>ROUND(G60/18,2)</f>
        <v>279</v>
      </c>
      <c r="I60" s="134"/>
      <c r="J60" s="135">
        <f>SUM(H60,I61:I62)</f>
        <v>279</v>
      </c>
      <c r="K60" s="106">
        <f>216</f>
        <v>216</v>
      </c>
      <c r="L60" s="134">
        <f>ROUND(K60/18,2)</f>
        <v>12</v>
      </c>
      <c r="M60" s="134"/>
      <c r="N60" s="135">
        <f>SUM(L60,M61:M62)</f>
        <v>12</v>
      </c>
      <c r="O60" s="115">
        <f t="shared" ref="O60:O95" si="1">SUM(C60,G60,K60)</f>
        <v>9638</v>
      </c>
      <c r="P60" s="174">
        <f>ROUND(O60/36,2)</f>
        <v>267.72000000000003</v>
      </c>
      <c r="Q60" s="175" t="s">
        <v>44</v>
      </c>
      <c r="R60" s="176">
        <f>SUM(P60,Q61:Q62)</f>
        <v>267.72000000000003</v>
      </c>
    </row>
    <row r="61" spans="1:18" x14ac:dyDescent="0.5">
      <c r="A61" s="61"/>
      <c r="B61" s="33" t="s">
        <v>42</v>
      </c>
      <c r="C61" s="95"/>
      <c r="D61" s="134">
        <f>ROUND(C61/12,2)</f>
        <v>0</v>
      </c>
      <c r="E61" s="134">
        <f>D61*1.8</f>
        <v>0</v>
      </c>
      <c r="F61" s="135"/>
      <c r="G61" s="95"/>
      <c r="H61" s="134">
        <f>ROUND(G61/12,2)</f>
        <v>0</v>
      </c>
      <c r="I61" s="134">
        <f>H61*1.8</f>
        <v>0</v>
      </c>
      <c r="J61" s="135"/>
      <c r="K61" s="95"/>
      <c r="L61" s="134">
        <f>ROUND(K61/12,2)</f>
        <v>0</v>
      </c>
      <c r="M61" s="134">
        <f>L61*1.8</f>
        <v>0</v>
      </c>
      <c r="N61" s="135"/>
      <c r="O61" s="115">
        <f t="shared" si="1"/>
        <v>0</v>
      </c>
      <c r="P61" s="175">
        <f>ROUND(O61/24,2)</f>
        <v>0</v>
      </c>
      <c r="Q61" s="175">
        <f>P61*1.8</f>
        <v>0</v>
      </c>
      <c r="R61" s="176">
        <v>0</v>
      </c>
    </row>
    <row r="62" spans="1:18" x14ac:dyDescent="0.5">
      <c r="A62" s="61"/>
      <c r="B62" s="33" t="s">
        <v>43</v>
      </c>
      <c r="C62" s="95"/>
      <c r="D62" s="134">
        <f>ROUND(C62/12,2)</f>
        <v>0</v>
      </c>
      <c r="E62" s="134">
        <f>D62*1.8</f>
        <v>0</v>
      </c>
      <c r="F62" s="135"/>
      <c r="G62" s="95"/>
      <c r="H62" s="134">
        <f>ROUND(G62/12,2)</f>
        <v>0</v>
      </c>
      <c r="I62" s="134">
        <f>H62*1.8</f>
        <v>0</v>
      </c>
      <c r="J62" s="135"/>
      <c r="K62" s="95"/>
      <c r="L62" s="134">
        <f>ROUND(K62/12,2)</f>
        <v>0</v>
      </c>
      <c r="M62" s="134">
        <f>L62*1.8</f>
        <v>0</v>
      </c>
      <c r="N62" s="135"/>
      <c r="O62" s="119">
        <f t="shared" si="1"/>
        <v>0</v>
      </c>
      <c r="P62" s="175">
        <f>ROUND(O62/24,2)</f>
        <v>0</v>
      </c>
      <c r="Q62" s="175">
        <f>P62*1.8</f>
        <v>0</v>
      </c>
      <c r="R62" s="176">
        <v>0</v>
      </c>
    </row>
    <row r="63" spans="1:18" x14ac:dyDescent="0.5">
      <c r="A63" s="55" t="s">
        <v>46</v>
      </c>
      <c r="B63" s="33" t="s">
        <v>3</v>
      </c>
      <c r="C63" s="95">
        <v>8804</v>
      </c>
      <c r="D63" s="134">
        <f>ROUND(C63/18,2)</f>
        <v>489.11</v>
      </c>
      <c r="E63" s="134"/>
      <c r="F63" s="135">
        <f>SUM(D63,E64:E65)</f>
        <v>489.11</v>
      </c>
      <c r="G63" s="95">
        <v>6962</v>
      </c>
      <c r="H63" s="134">
        <f>ROUND(G63/18,2)</f>
        <v>386.78</v>
      </c>
      <c r="I63" s="134"/>
      <c r="J63" s="135">
        <f>SUM(H63,I64:I65)</f>
        <v>386.78</v>
      </c>
      <c r="K63" s="106"/>
      <c r="L63" s="134">
        <f>ROUND(K63/18,2)</f>
        <v>0</v>
      </c>
      <c r="M63" s="134"/>
      <c r="N63" s="135">
        <f>SUM(L63,M64:M65)</f>
        <v>0</v>
      </c>
      <c r="O63" s="115">
        <f t="shared" si="1"/>
        <v>15766</v>
      </c>
      <c r="P63" s="174">
        <f>ROUND(O63/36,2)</f>
        <v>437.94</v>
      </c>
      <c r="Q63" s="175" t="s">
        <v>44</v>
      </c>
      <c r="R63" s="176">
        <f>SUM(P63,Q64:Q65)</f>
        <v>437.94</v>
      </c>
    </row>
    <row r="64" spans="1:18" x14ac:dyDescent="0.5">
      <c r="A64" s="61"/>
      <c r="B64" s="33" t="s">
        <v>42</v>
      </c>
      <c r="C64" s="95"/>
      <c r="D64" s="134">
        <f>ROUND(C64/12,2)</f>
        <v>0</v>
      </c>
      <c r="E64" s="134">
        <f>D64*1.8</f>
        <v>0</v>
      </c>
      <c r="F64" s="135"/>
      <c r="G64" s="95"/>
      <c r="H64" s="134">
        <f>ROUND(G64/12,2)</f>
        <v>0</v>
      </c>
      <c r="I64" s="134">
        <f>H64*1.8</f>
        <v>0</v>
      </c>
      <c r="J64" s="135"/>
      <c r="K64" s="106"/>
      <c r="L64" s="134">
        <f>ROUND(K64/12,2)</f>
        <v>0</v>
      </c>
      <c r="M64" s="134">
        <f>L64*1.8</f>
        <v>0</v>
      </c>
      <c r="N64" s="135"/>
      <c r="O64" s="115">
        <f t="shared" si="1"/>
        <v>0</v>
      </c>
      <c r="P64" s="175">
        <f>ROUND(O64/24,2)</f>
        <v>0</v>
      </c>
      <c r="Q64" s="175">
        <f>P64*1.8</f>
        <v>0</v>
      </c>
      <c r="R64" s="176">
        <v>0</v>
      </c>
    </row>
    <row r="65" spans="1:18" x14ac:dyDescent="0.5">
      <c r="A65" s="61"/>
      <c r="B65" s="33" t="s">
        <v>43</v>
      </c>
      <c r="C65" s="95"/>
      <c r="D65" s="134">
        <f>ROUND(C65/12,2)</f>
        <v>0</v>
      </c>
      <c r="E65" s="134">
        <f>D65*1.8</f>
        <v>0</v>
      </c>
      <c r="F65" s="135"/>
      <c r="G65" s="95"/>
      <c r="H65" s="134">
        <f>ROUND(G65/12,2)</f>
        <v>0</v>
      </c>
      <c r="I65" s="134">
        <f>H65*1.8</f>
        <v>0</v>
      </c>
      <c r="J65" s="135"/>
      <c r="K65" s="95"/>
      <c r="L65" s="134">
        <f>ROUND(K65/12,2)</f>
        <v>0</v>
      </c>
      <c r="M65" s="134">
        <f>L65*1.8</f>
        <v>0</v>
      </c>
      <c r="N65" s="135"/>
      <c r="O65" s="119">
        <f t="shared" si="1"/>
        <v>0</v>
      </c>
      <c r="P65" s="175">
        <f>ROUND(O65/24,2)</f>
        <v>0</v>
      </c>
      <c r="Q65" s="175">
        <f>P65*1.8</f>
        <v>0</v>
      </c>
      <c r="R65" s="176">
        <v>0</v>
      </c>
    </row>
    <row r="66" spans="1:18" x14ac:dyDescent="0.5">
      <c r="A66" s="55" t="s">
        <v>47</v>
      </c>
      <c r="B66" s="33" t="s">
        <v>3</v>
      </c>
      <c r="C66" s="95">
        <v>5265</v>
      </c>
      <c r="D66" s="134">
        <f>ROUND(C66/18,2)</f>
        <v>292.5</v>
      </c>
      <c r="E66" s="134"/>
      <c r="F66" s="135">
        <f>SUM(D66,E67:E68)</f>
        <v>292.5</v>
      </c>
      <c r="G66" s="95">
        <v>4963</v>
      </c>
      <c r="H66" s="134">
        <f>ROUND(G66/18,2)</f>
        <v>275.72000000000003</v>
      </c>
      <c r="I66" s="134"/>
      <c r="J66" s="135">
        <f>SUM(H66,I67:I68)</f>
        <v>275.72000000000003</v>
      </c>
      <c r="K66" s="106">
        <f>330</f>
        <v>330</v>
      </c>
      <c r="L66" s="134">
        <f>ROUND(K66/18,2)</f>
        <v>18.329999999999998</v>
      </c>
      <c r="M66" s="134"/>
      <c r="N66" s="135">
        <f>SUM(L66,M67:M68)</f>
        <v>18.329999999999998</v>
      </c>
      <c r="O66" s="115">
        <f t="shared" si="1"/>
        <v>10558</v>
      </c>
      <c r="P66" s="174">
        <f>ROUND(O66/36,2)</f>
        <v>293.27999999999997</v>
      </c>
      <c r="Q66" s="175" t="s">
        <v>44</v>
      </c>
      <c r="R66" s="176">
        <f>SUM(P66,Q67:Q68)</f>
        <v>293.27999999999997</v>
      </c>
    </row>
    <row r="67" spans="1:18" x14ac:dyDescent="0.5">
      <c r="A67" s="61"/>
      <c r="B67" s="33" t="s">
        <v>42</v>
      </c>
      <c r="C67" s="95"/>
      <c r="D67" s="134">
        <f>ROUND(C67/12,2)</f>
        <v>0</v>
      </c>
      <c r="E67" s="134">
        <f>D67*1.8</f>
        <v>0</v>
      </c>
      <c r="F67" s="135"/>
      <c r="G67" s="95"/>
      <c r="H67" s="134">
        <f>ROUND(G67/12,2)</f>
        <v>0</v>
      </c>
      <c r="I67" s="134">
        <f>H67*1.8</f>
        <v>0</v>
      </c>
      <c r="J67" s="135"/>
      <c r="K67" s="106"/>
      <c r="L67" s="134">
        <f>ROUND(K67/12,2)</f>
        <v>0</v>
      </c>
      <c r="M67" s="134">
        <f>L67*1.8</f>
        <v>0</v>
      </c>
      <c r="N67" s="135"/>
      <c r="O67" s="115">
        <f t="shared" si="1"/>
        <v>0</v>
      </c>
      <c r="P67" s="175">
        <f>ROUND(O67/24,2)</f>
        <v>0</v>
      </c>
      <c r="Q67" s="175">
        <f>P67*1.8</f>
        <v>0</v>
      </c>
      <c r="R67" s="176">
        <v>0</v>
      </c>
    </row>
    <row r="68" spans="1:18" x14ac:dyDescent="0.5">
      <c r="A68" s="61"/>
      <c r="B68" s="33" t="s">
        <v>43</v>
      </c>
      <c r="C68" s="95"/>
      <c r="D68" s="134">
        <f>ROUND(C68/12,2)</f>
        <v>0</v>
      </c>
      <c r="E68" s="134">
        <f>D68*1.8</f>
        <v>0</v>
      </c>
      <c r="F68" s="135"/>
      <c r="G68" s="95"/>
      <c r="H68" s="134">
        <f>ROUND(G68/12,2)</f>
        <v>0</v>
      </c>
      <c r="I68" s="134">
        <f>H68*1.8</f>
        <v>0</v>
      </c>
      <c r="J68" s="135"/>
      <c r="K68" s="106"/>
      <c r="L68" s="134">
        <f>ROUND(K68/12,2)</f>
        <v>0</v>
      </c>
      <c r="M68" s="134">
        <f>L68*1.8</f>
        <v>0</v>
      </c>
      <c r="N68" s="135"/>
      <c r="O68" s="119">
        <f t="shared" si="1"/>
        <v>0</v>
      </c>
      <c r="P68" s="175">
        <f>ROUND(O68/24,2)</f>
        <v>0</v>
      </c>
      <c r="Q68" s="175">
        <f>P68*1.8</f>
        <v>0</v>
      </c>
      <c r="R68" s="176">
        <v>0</v>
      </c>
    </row>
    <row r="69" spans="1:18" x14ac:dyDescent="0.5">
      <c r="A69" s="55" t="s">
        <v>48</v>
      </c>
      <c r="B69" s="33" t="s">
        <v>3</v>
      </c>
      <c r="C69" s="95">
        <v>8722</v>
      </c>
      <c r="D69" s="134">
        <f>ROUND(C69/18,2)</f>
        <v>484.56</v>
      </c>
      <c r="E69" s="134"/>
      <c r="F69" s="135">
        <f>SUM(D69,E70:E71)</f>
        <v>497.61</v>
      </c>
      <c r="G69" s="95">
        <v>4320</v>
      </c>
      <c r="H69" s="134">
        <f>ROUND(G69/18,2)</f>
        <v>240</v>
      </c>
      <c r="I69" s="134"/>
      <c r="J69" s="135">
        <f>SUM(H69,I70:I71)</f>
        <v>247.2</v>
      </c>
      <c r="K69" s="106">
        <f>174</f>
        <v>174</v>
      </c>
      <c r="L69" s="134">
        <f>ROUND(K69/18,2)</f>
        <v>9.67</v>
      </c>
      <c r="M69" s="134"/>
      <c r="N69" s="135">
        <f>SUM(L69,M70:M71)</f>
        <v>9.67</v>
      </c>
      <c r="O69" s="115">
        <f t="shared" si="1"/>
        <v>13216</v>
      </c>
      <c r="P69" s="174">
        <f>ROUND(O69/36,2)</f>
        <v>367.11</v>
      </c>
      <c r="Q69" s="175" t="s">
        <v>44</v>
      </c>
      <c r="R69" s="176">
        <f>SUM(P69,Q70:Q71)</f>
        <v>377.24400000000003</v>
      </c>
    </row>
    <row r="70" spans="1:18" x14ac:dyDescent="0.5">
      <c r="A70" s="61"/>
      <c r="B70" s="33" t="s">
        <v>42</v>
      </c>
      <c r="C70" s="95">
        <v>87</v>
      </c>
      <c r="D70" s="134">
        <f>ROUND(C70/12,2)</f>
        <v>7.25</v>
      </c>
      <c r="E70" s="134">
        <f>D70*1.8</f>
        <v>13.05</v>
      </c>
      <c r="F70" s="135"/>
      <c r="G70" s="95">
        <v>48</v>
      </c>
      <c r="H70" s="134">
        <f>ROUND(G70/12,2)</f>
        <v>4</v>
      </c>
      <c r="I70" s="134">
        <f>H70*1.8</f>
        <v>7.2</v>
      </c>
      <c r="J70" s="135"/>
      <c r="K70" s="106"/>
      <c r="L70" s="134">
        <f>ROUND(K70/12,2)</f>
        <v>0</v>
      </c>
      <c r="M70" s="134">
        <f>L70*1.8</f>
        <v>0</v>
      </c>
      <c r="N70" s="135"/>
      <c r="O70" s="115">
        <f t="shared" si="1"/>
        <v>135</v>
      </c>
      <c r="P70" s="175">
        <f>ROUND(O70/24,2)</f>
        <v>5.63</v>
      </c>
      <c r="Q70" s="175">
        <f>P70*1.8</f>
        <v>10.134</v>
      </c>
      <c r="R70" s="176">
        <v>0</v>
      </c>
    </row>
    <row r="71" spans="1:18" x14ac:dyDescent="0.5">
      <c r="A71" s="61"/>
      <c r="B71" s="33" t="s">
        <v>43</v>
      </c>
      <c r="C71" s="95"/>
      <c r="D71" s="134">
        <f>ROUND(C71/12,2)</f>
        <v>0</v>
      </c>
      <c r="E71" s="134">
        <f>D71*1.8</f>
        <v>0</v>
      </c>
      <c r="F71" s="135"/>
      <c r="G71" s="95"/>
      <c r="H71" s="134">
        <f>ROUND(G71/12,2)</f>
        <v>0</v>
      </c>
      <c r="I71" s="134">
        <f>H71*1.8</f>
        <v>0</v>
      </c>
      <c r="J71" s="135"/>
      <c r="K71" s="106"/>
      <c r="L71" s="134">
        <f>ROUND(K71/12,2)</f>
        <v>0</v>
      </c>
      <c r="M71" s="134">
        <f>L71*1.8</f>
        <v>0</v>
      </c>
      <c r="N71" s="135"/>
      <c r="O71" s="119">
        <f t="shared" si="1"/>
        <v>0</v>
      </c>
      <c r="P71" s="175">
        <f>ROUND(O71/24,2)</f>
        <v>0</v>
      </c>
      <c r="Q71" s="175">
        <f>P71*1.8</f>
        <v>0</v>
      </c>
      <c r="R71" s="176">
        <v>0</v>
      </c>
    </row>
    <row r="72" spans="1:18" x14ac:dyDescent="0.5">
      <c r="A72" s="55" t="s">
        <v>49</v>
      </c>
      <c r="B72" s="33" t="s">
        <v>3</v>
      </c>
      <c r="C72" s="95">
        <v>4924</v>
      </c>
      <c r="D72" s="134">
        <f>ROUND(C72/18,2)</f>
        <v>273.56</v>
      </c>
      <c r="E72" s="134"/>
      <c r="F72" s="135">
        <f>SUM(D72,E73:E74)</f>
        <v>273.56</v>
      </c>
      <c r="G72" s="95">
        <v>4030</v>
      </c>
      <c r="H72" s="134">
        <f>ROUND(G72/18,2)</f>
        <v>223.89</v>
      </c>
      <c r="I72" s="134"/>
      <c r="J72" s="135">
        <f>SUM(H72,I73:I74)</f>
        <v>223.89</v>
      </c>
      <c r="K72" s="106"/>
      <c r="L72" s="134">
        <f>ROUND(K72/18,2)</f>
        <v>0</v>
      </c>
      <c r="M72" s="134"/>
      <c r="N72" s="135">
        <f>SUM(L72,M73:M74)</f>
        <v>0</v>
      </c>
      <c r="O72" s="115">
        <f t="shared" si="1"/>
        <v>8954</v>
      </c>
      <c r="P72" s="174">
        <f>ROUND(O72/36,2)</f>
        <v>248.72</v>
      </c>
      <c r="Q72" s="175" t="s">
        <v>44</v>
      </c>
      <c r="R72" s="176">
        <f>SUM(P72,Q73:Q74)</f>
        <v>248.72</v>
      </c>
    </row>
    <row r="73" spans="1:18" x14ac:dyDescent="0.5">
      <c r="A73" s="61"/>
      <c r="B73" s="33" t="s">
        <v>42</v>
      </c>
      <c r="C73" s="95"/>
      <c r="D73" s="134">
        <f>ROUND(C73/12,2)</f>
        <v>0</v>
      </c>
      <c r="E73" s="134">
        <f>D73*1.8</f>
        <v>0</v>
      </c>
      <c r="F73" s="135"/>
      <c r="G73" s="95"/>
      <c r="H73" s="134">
        <f>ROUND(G73/12,2)</f>
        <v>0</v>
      </c>
      <c r="I73" s="134">
        <f>H73*1.8</f>
        <v>0</v>
      </c>
      <c r="J73" s="135"/>
      <c r="K73" s="95"/>
      <c r="L73" s="134">
        <f>ROUND(K73/12,2)</f>
        <v>0</v>
      </c>
      <c r="M73" s="134">
        <f>L73*1.8</f>
        <v>0</v>
      </c>
      <c r="N73" s="135"/>
      <c r="O73" s="115">
        <f t="shared" si="1"/>
        <v>0</v>
      </c>
      <c r="P73" s="175">
        <f>ROUND(O73/24,2)</f>
        <v>0</v>
      </c>
      <c r="Q73" s="175">
        <f>P73*1.8</f>
        <v>0</v>
      </c>
      <c r="R73" s="176">
        <v>0</v>
      </c>
    </row>
    <row r="74" spans="1:18" x14ac:dyDescent="0.5">
      <c r="A74" s="61"/>
      <c r="B74" s="33" t="s">
        <v>43</v>
      </c>
      <c r="C74" s="95"/>
      <c r="D74" s="134">
        <f>ROUND(C74/12,2)</f>
        <v>0</v>
      </c>
      <c r="E74" s="134">
        <f>D74*1.8</f>
        <v>0</v>
      </c>
      <c r="F74" s="135"/>
      <c r="G74" s="95"/>
      <c r="H74" s="134">
        <f>ROUND(G74/12,2)</f>
        <v>0</v>
      </c>
      <c r="I74" s="134">
        <f>H74*1.8</f>
        <v>0</v>
      </c>
      <c r="J74" s="135"/>
      <c r="K74" s="95"/>
      <c r="L74" s="134">
        <f>ROUND(K74/12,2)</f>
        <v>0</v>
      </c>
      <c r="M74" s="134">
        <f>L74*1.8</f>
        <v>0</v>
      </c>
      <c r="N74" s="135"/>
      <c r="O74" s="119">
        <f t="shared" si="1"/>
        <v>0</v>
      </c>
      <c r="P74" s="175">
        <f>ROUND(O74/24,2)</f>
        <v>0</v>
      </c>
      <c r="Q74" s="175">
        <f>P74*1.8</f>
        <v>0</v>
      </c>
      <c r="R74" s="176">
        <v>0</v>
      </c>
    </row>
    <row r="75" spans="1:18" x14ac:dyDescent="0.5">
      <c r="A75" s="55" t="s">
        <v>50</v>
      </c>
      <c r="B75" s="33" t="s">
        <v>3</v>
      </c>
      <c r="C75" s="95">
        <v>8921</v>
      </c>
      <c r="D75" s="134">
        <f>ROUND(C75/18,2)</f>
        <v>495.61</v>
      </c>
      <c r="E75" s="134"/>
      <c r="F75" s="135">
        <f>SUM(D75,E76:E77)</f>
        <v>495.61</v>
      </c>
      <c r="G75" s="95">
        <v>9813</v>
      </c>
      <c r="H75" s="134">
        <f>ROUND(G75/18,2)</f>
        <v>545.16999999999996</v>
      </c>
      <c r="I75" s="134"/>
      <c r="J75" s="135">
        <f>SUM(H75,I76:I77)</f>
        <v>545.16999999999996</v>
      </c>
      <c r="K75" s="106">
        <f>42</f>
        <v>42</v>
      </c>
      <c r="L75" s="134">
        <f>ROUND(K75/18,2)</f>
        <v>2.33</v>
      </c>
      <c r="M75" s="134"/>
      <c r="N75" s="135">
        <f>SUM(L75,M76:M77)</f>
        <v>2.33</v>
      </c>
      <c r="O75" s="115">
        <f t="shared" si="1"/>
        <v>18776</v>
      </c>
      <c r="P75" s="174">
        <f>ROUND(O75/36,2)</f>
        <v>521.55999999999995</v>
      </c>
      <c r="Q75" s="175" t="s">
        <v>44</v>
      </c>
      <c r="R75" s="176">
        <f>SUM(P75,Q76:Q77)</f>
        <v>521.55999999999995</v>
      </c>
    </row>
    <row r="76" spans="1:18" x14ac:dyDescent="0.5">
      <c r="A76" s="61"/>
      <c r="B76" s="33" t="s">
        <v>42</v>
      </c>
      <c r="C76" s="95"/>
      <c r="D76" s="134">
        <f>ROUND(C76/12,2)</f>
        <v>0</v>
      </c>
      <c r="E76" s="134">
        <f>D76*1.8</f>
        <v>0</v>
      </c>
      <c r="F76" s="135"/>
      <c r="G76" s="95"/>
      <c r="H76" s="134">
        <f>ROUND(G76/12,2)</f>
        <v>0</v>
      </c>
      <c r="I76" s="134">
        <f>H76*1.8</f>
        <v>0</v>
      </c>
      <c r="J76" s="135"/>
      <c r="K76" s="106"/>
      <c r="L76" s="134">
        <f>ROUND(K76/12,2)</f>
        <v>0</v>
      </c>
      <c r="M76" s="134">
        <f>L76*1.8</f>
        <v>0</v>
      </c>
      <c r="N76" s="135"/>
      <c r="O76" s="115">
        <f t="shared" si="1"/>
        <v>0</v>
      </c>
      <c r="P76" s="175">
        <f>ROUND(O76/24,2)</f>
        <v>0</v>
      </c>
      <c r="Q76" s="175">
        <f>P76*1.8</f>
        <v>0</v>
      </c>
      <c r="R76" s="176">
        <v>0</v>
      </c>
    </row>
    <row r="77" spans="1:18" x14ac:dyDescent="0.5">
      <c r="A77" s="61"/>
      <c r="B77" s="33" t="s">
        <v>43</v>
      </c>
      <c r="C77" s="95"/>
      <c r="D77" s="134">
        <f>ROUND(C77/12,2)</f>
        <v>0</v>
      </c>
      <c r="E77" s="134">
        <f>D77*1.8</f>
        <v>0</v>
      </c>
      <c r="F77" s="135"/>
      <c r="G77" s="95"/>
      <c r="H77" s="134">
        <f>ROUND(G77/12,2)</f>
        <v>0</v>
      </c>
      <c r="I77" s="134">
        <f>H77*1.8</f>
        <v>0</v>
      </c>
      <c r="J77" s="135"/>
      <c r="K77" s="95"/>
      <c r="L77" s="134">
        <f>ROUND(K77/12,2)</f>
        <v>0</v>
      </c>
      <c r="M77" s="134">
        <f>L77*1.8</f>
        <v>0</v>
      </c>
      <c r="N77" s="135"/>
      <c r="O77" s="119">
        <f t="shared" si="1"/>
        <v>0</v>
      </c>
      <c r="P77" s="175">
        <f>ROUND(O77/24,2)</f>
        <v>0</v>
      </c>
      <c r="Q77" s="175">
        <f>P77*1.8</f>
        <v>0</v>
      </c>
      <c r="R77" s="176">
        <v>0</v>
      </c>
    </row>
    <row r="78" spans="1:18" x14ac:dyDescent="0.5">
      <c r="A78" s="55" t="s">
        <v>51</v>
      </c>
      <c r="B78" s="33" t="s">
        <v>3</v>
      </c>
      <c r="C78" s="95"/>
      <c r="D78" s="134">
        <f>ROUND(C78/18,2)</f>
        <v>0</v>
      </c>
      <c r="E78" s="134"/>
      <c r="F78" s="135">
        <f>SUM(D78,E79:E80)</f>
        <v>30.006</v>
      </c>
      <c r="G78" s="95"/>
      <c r="H78" s="134">
        <f>ROUND(G78/18,2)</f>
        <v>0</v>
      </c>
      <c r="I78" s="134"/>
      <c r="J78" s="135">
        <f>SUM(H78,I79:I80)</f>
        <v>16.2</v>
      </c>
      <c r="K78" s="106"/>
      <c r="L78" s="134">
        <f>ROUND(K78/18,2)</f>
        <v>0</v>
      </c>
      <c r="M78" s="134"/>
      <c r="N78" s="135"/>
      <c r="O78" s="115">
        <f t="shared" si="1"/>
        <v>0</v>
      </c>
      <c r="P78" s="174">
        <f>ROUND(O78/36,2)</f>
        <v>0</v>
      </c>
      <c r="Q78" s="175" t="s">
        <v>44</v>
      </c>
      <c r="R78" s="176">
        <f>SUM(P78,Q79:Q80)</f>
        <v>23.112000000000002</v>
      </c>
    </row>
    <row r="79" spans="1:18" x14ac:dyDescent="0.5">
      <c r="A79" s="56"/>
      <c r="B79" s="33" t="s">
        <v>42</v>
      </c>
      <c r="C79" s="95">
        <v>15</v>
      </c>
      <c r="D79" s="134">
        <f>ROUND(C79/12,2)</f>
        <v>1.25</v>
      </c>
      <c r="E79" s="134">
        <f>D79*1.8</f>
        <v>2.25</v>
      </c>
      <c r="F79" s="135"/>
      <c r="G79" s="95">
        <v>12</v>
      </c>
      <c r="H79" s="134">
        <f>ROUND(G79/12,2)</f>
        <v>1</v>
      </c>
      <c r="I79" s="134">
        <f>H79*1.8</f>
        <v>1.8</v>
      </c>
      <c r="J79" s="135"/>
      <c r="K79" s="106"/>
      <c r="L79" s="134">
        <f>ROUND(K79/12,2)</f>
        <v>0</v>
      </c>
      <c r="M79" s="134">
        <f>L79*1.8</f>
        <v>0</v>
      </c>
      <c r="N79" s="135"/>
      <c r="O79" s="115">
        <f t="shared" si="1"/>
        <v>27</v>
      </c>
      <c r="P79" s="175">
        <f>ROUND(O79/24,2)</f>
        <v>1.1299999999999999</v>
      </c>
      <c r="Q79" s="175">
        <f>P79*1.8</f>
        <v>2.0339999999999998</v>
      </c>
      <c r="R79" s="176">
        <v>0</v>
      </c>
    </row>
    <row r="80" spans="1:18" x14ac:dyDescent="0.5">
      <c r="A80" s="56"/>
      <c r="B80" s="33" t="s">
        <v>43</v>
      </c>
      <c r="C80" s="95">
        <v>185</v>
      </c>
      <c r="D80" s="134">
        <f>ROUND(C80/12,2)</f>
        <v>15.42</v>
      </c>
      <c r="E80" s="134">
        <f>D80*1.8</f>
        <v>27.756</v>
      </c>
      <c r="F80" s="135"/>
      <c r="G80" s="95">
        <v>96</v>
      </c>
      <c r="H80" s="134">
        <f>ROUND(G80/12,2)</f>
        <v>8</v>
      </c>
      <c r="I80" s="134">
        <f>H80*1.8</f>
        <v>14.4</v>
      </c>
      <c r="J80" s="135"/>
      <c r="K80" s="106"/>
      <c r="L80" s="134">
        <f>ROUND(K80/12,2)</f>
        <v>0</v>
      </c>
      <c r="M80" s="134">
        <f>L80*1.8</f>
        <v>0</v>
      </c>
      <c r="N80" s="135"/>
      <c r="O80" s="119">
        <f t="shared" si="1"/>
        <v>281</v>
      </c>
      <c r="P80" s="175">
        <f>ROUND(O80/24,2)</f>
        <v>11.71</v>
      </c>
      <c r="Q80" s="175">
        <f>P80*1.8</f>
        <v>21.078000000000003</v>
      </c>
      <c r="R80" s="176">
        <v>0</v>
      </c>
    </row>
    <row r="81" spans="1:18" x14ac:dyDescent="0.5">
      <c r="A81" s="55" t="s">
        <v>52</v>
      </c>
      <c r="B81" s="33" t="s">
        <v>3</v>
      </c>
      <c r="C81" s="95">
        <v>5886</v>
      </c>
      <c r="D81" s="134">
        <f>ROUND(C81/18,2)</f>
        <v>327</v>
      </c>
      <c r="E81" s="134"/>
      <c r="F81" s="135">
        <f>SUM(D81,E82:E83)</f>
        <v>328.8</v>
      </c>
      <c r="G81" s="95">
        <v>4350</v>
      </c>
      <c r="H81" s="134">
        <f>ROUND(G81/18,2)</f>
        <v>241.67</v>
      </c>
      <c r="I81" s="134"/>
      <c r="J81" s="135">
        <f>SUM(H81,I82:I83)</f>
        <v>243.01999999999998</v>
      </c>
      <c r="K81" s="106">
        <f>504</f>
        <v>504</v>
      </c>
      <c r="L81" s="134">
        <f>ROUND(K81/18,2)</f>
        <v>28</v>
      </c>
      <c r="M81" s="134"/>
      <c r="N81" s="135">
        <f>SUM(L81,M82:M83)</f>
        <v>28</v>
      </c>
      <c r="O81" s="115">
        <f t="shared" si="1"/>
        <v>10740</v>
      </c>
      <c r="P81" s="174">
        <f>ROUND(O81/36,2)</f>
        <v>298.33</v>
      </c>
      <c r="Q81" s="175" t="s">
        <v>44</v>
      </c>
      <c r="R81" s="176">
        <f>SUM(P81,Q82:Q83)</f>
        <v>299.91399999999999</v>
      </c>
    </row>
    <row r="82" spans="1:18" x14ac:dyDescent="0.5">
      <c r="A82" s="61"/>
      <c r="B82" s="33" t="s">
        <v>42</v>
      </c>
      <c r="C82" s="95">
        <v>12</v>
      </c>
      <c r="D82" s="134">
        <f>ROUND(C82/12,2)</f>
        <v>1</v>
      </c>
      <c r="E82" s="134">
        <f>D82*1.8</f>
        <v>1.8</v>
      </c>
      <c r="F82" s="135"/>
      <c r="G82" s="95">
        <v>9</v>
      </c>
      <c r="H82" s="134">
        <f>ROUND(G82/12,2)</f>
        <v>0.75</v>
      </c>
      <c r="I82" s="134">
        <f>H82*1.8</f>
        <v>1.35</v>
      </c>
      <c r="J82" s="135"/>
      <c r="K82" s="95"/>
      <c r="L82" s="134">
        <f>ROUND(K82/12,2)</f>
        <v>0</v>
      </c>
      <c r="M82" s="134">
        <f>L82*1.8</f>
        <v>0</v>
      </c>
      <c r="N82" s="135"/>
      <c r="O82" s="115">
        <f t="shared" si="1"/>
        <v>21</v>
      </c>
      <c r="P82" s="175">
        <f>ROUND(O82/24,2)</f>
        <v>0.88</v>
      </c>
      <c r="Q82" s="175">
        <f>P82*1.8</f>
        <v>1.5840000000000001</v>
      </c>
      <c r="R82" s="176">
        <v>0</v>
      </c>
    </row>
    <row r="83" spans="1:18" x14ac:dyDescent="0.5">
      <c r="A83" s="61"/>
      <c r="B83" s="33" t="s">
        <v>43</v>
      </c>
      <c r="C83" s="95"/>
      <c r="D83" s="134">
        <f>ROUND(C83/12,2)</f>
        <v>0</v>
      </c>
      <c r="E83" s="134">
        <f>D83*1.8</f>
        <v>0</v>
      </c>
      <c r="F83" s="135"/>
      <c r="G83" s="95"/>
      <c r="H83" s="134">
        <f>ROUND(G83/12,2)</f>
        <v>0</v>
      </c>
      <c r="I83" s="134">
        <f>H83*1.8</f>
        <v>0</v>
      </c>
      <c r="J83" s="135"/>
      <c r="K83" s="95"/>
      <c r="L83" s="134">
        <f>ROUND(K83/12,2)</f>
        <v>0</v>
      </c>
      <c r="M83" s="134">
        <f>L83*1.8</f>
        <v>0</v>
      </c>
      <c r="N83" s="135"/>
      <c r="O83" s="119">
        <f t="shared" si="1"/>
        <v>0</v>
      </c>
      <c r="P83" s="175">
        <f>ROUND(O83/24,2)</f>
        <v>0</v>
      </c>
      <c r="Q83" s="175">
        <f>P83*1.8</f>
        <v>0</v>
      </c>
      <c r="R83" s="176">
        <v>0</v>
      </c>
    </row>
    <row r="84" spans="1:18" x14ac:dyDescent="0.5">
      <c r="A84" s="55" t="s">
        <v>53</v>
      </c>
      <c r="B84" s="33" t="s">
        <v>3</v>
      </c>
      <c r="C84" s="95">
        <v>4163</v>
      </c>
      <c r="D84" s="134">
        <f>ROUND(C84/18,2)</f>
        <v>231.28</v>
      </c>
      <c r="E84" s="134"/>
      <c r="F84" s="135">
        <f>SUM(D84,E85:E86)</f>
        <v>231.28</v>
      </c>
      <c r="G84" s="95">
        <v>3889</v>
      </c>
      <c r="H84" s="134">
        <f>ROUND(G84/18,2)</f>
        <v>216.06</v>
      </c>
      <c r="I84" s="134"/>
      <c r="J84" s="135">
        <f>SUM(H84,I85:I86)</f>
        <v>216.06</v>
      </c>
      <c r="K84" s="106">
        <f>114</f>
        <v>114</v>
      </c>
      <c r="L84" s="134">
        <f>ROUND(K84/18,2)</f>
        <v>6.33</v>
      </c>
      <c r="M84" s="134"/>
      <c r="N84" s="135">
        <f>SUM(L84,M85:M86)</f>
        <v>6.33</v>
      </c>
      <c r="O84" s="115">
        <f t="shared" si="1"/>
        <v>8166</v>
      </c>
      <c r="P84" s="174">
        <f>ROUND(O84/36,2)</f>
        <v>226.83</v>
      </c>
      <c r="Q84" s="175" t="s">
        <v>44</v>
      </c>
      <c r="R84" s="176">
        <f>SUM(P84,Q85:Q86)</f>
        <v>226.83</v>
      </c>
    </row>
    <row r="85" spans="1:18" x14ac:dyDescent="0.5">
      <c r="A85" s="61"/>
      <c r="B85" s="33" t="s">
        <v>42</v>
      </c>
      <c r="C85" s="95"/>
      <c r="D85" s="134">
        <f>ROUND(C85/12,2)</f>
        <v>0</v>
      </c>
      <c r="E85" s="134">
        <f>D85*1.8</f>
        <v>0</v>
      </c>
      <c r="F85" s="135"/>
      <c r="G85" s="95"/>
      <c r="H85" s="134">
        <f>ROUND(G85/12,2)</f>
        <v>0</v>
      </c>
      <c r="I85" s="134">
        <f>H85*1.8</f>
        <v>0</v>
      </c>
      <c r="J85" s="135"/>
      <c r="K85" s="95"/>
      <c r="L85" s="134">
        <f>ROUND(K85/12,2)</f>
        <v>0</v>
      </c>
      <c r="M85" s="134">
        <f>L85*1.8</f>
        <v>0</v>
      </c>
      <c r="N85" s="135"/>
      <c r="O85" s="115">
        <f t="shared" si="1"/>
        <v>0</v>
      </c>
      <c r="P85" s="175">
        <f>ROUND(O85/24,2)</f>
        <v>0</v>
      </c>
      <c r="Q85" s="175">
        <f>P85*1.8</f>
        <v>0</v>
      </c>
      <c r="R85" s="176">
        <v>0</v>
      </c>
    </row>
    <row r="86" spans="1:18" x14ac:dyDescent="0.5">
      <c r="A86" s="61"/>
      <c r="B86" s="33" t="s">
        <v>43</v>
      </c>
      <c r="C86" s="95"/>
      <c r="D86" s="134">
        <f>ROUND(C86/12,2)</f>
        <v>0</v>
      </c>
      <c r="E86" s="134">
        <f>D86*1.8</f>
        <v>0</v>
      </c>
      <c r="F86" s="135"/>
      <c r="G86" s="95"/>
      <c r="H86" s="134">
        <f>ROUND(G86/12,2)</f>
        <v>0</v>
      </c>
      <c r="I86" s="134">
        <f>H86*1.8</f>
        <v>0</v>
      </c>
      <c r="J86" s="135"/>
      <c r="K86" s="95"/>
      <c r="L86" s="134">
        <f>ROUND(K86/12,2)</f>
        <v>0</v>
      </c>
      <c r="M86" s="134">
        <f>L86*1.8</f>
        <v>0</v>
      </c>
      <c r="N86" s="135"/>
      <c r="O86" s="119">
        <f t="shared" si="1"/>
        <v>0</v>
      </c>
      <c r="P86" s="175">
        <f>ROUND(O86/24,2)</f>
        <v>0</v>
      </c>
      <c r="Q86" s="175">
        <f>P86*1.8</f>
        <v>0</v>
      </c>
      <c r="R86" s="176">
        <v>0</v>
      </c>
    </row>
    <row r="87" spans="1:18" x14ac:dyDescent="0.5">
      <c r="A87" s="55" t="s">
        <v>54</v>
      </c>
      <c r="B87" s="33" t="s">
        <v>3</v>
      </c>
      <c r="C87" s="95">
        <v>5556</v>
      </c>
      <c r="D87" s="134">
        <f>ROUND(C87/18,2)</f>
        <v>308.67</v>
      </c>
      <c r="E87" s="134"/>
      <c r="F87" s="135">
        <f>SUM(D87,E88:E89)</f>
        <v>308.67</v>
      </c>
      <c r="G87" s="95">
        <v>3645</v>
      </c>
      <c r="H87" s="134">
        <f>ROUND(G87/18,2)</f>
        <v>202.5</v>
      </c>
      <c r="I87" s="134"/>
      <c r="J87" s="135">
        <f>SUM(H87,I88:I89)</f>
        <v>202.5</v>
      </c>
      <c r="K87" s="106">
        <f>516</f>
        <v>516</v>
      </c>
      <c r="L87" s="134">
        <f>ROUND(K87/18,2)</f>
        <v>28.67</v>
      </c>
      <c r="M87" s="134"/>
      <c r="N87" s="135">
        <f>SUM(L87,M88:M89)</f>
        <v>28.67</v>
      </c>
      <c r="O87" s="115">
        <f t="shared" si="1"/>
        <v>9717</v>
      </c>
      <c r="P87" s="174">
        <f>ROUND(O87/36,2)</f>
        <v>269.92</v>
      </c>
      <c r="Q87" s="175" t="s">
        <v>44</v>
      </c>
      <c r="R87" s="176">
        <f>SUM(P87,Q88:Q89)</f>
        <v>269.92</v>
      </c>
    </row>
    <row r="88" spans="1:18" x14ac:dyDescent="0.5">
      <c r="A88" s="61"/>
      <c r="B88" s="33" t="s">
        <v>42</v>
      </c>
      <c r="C88" s="95"/>
      <c r="D88" s="134">
        <f>ROUND(C88/12,2)</f>
        <v>0</v>
      </c>
      <c r="E88" s="134">
        <f>D88*1.8</f>
        <v>0</v>
      </c>
      <c r="F88" s="135"/>
      <c r="G88" s="95"/>
      <c r="H88" s="134">
        <f>ROUND(G88/12,2)</f>
        <v>0</v>
      </c>
      <c r="I88" s="134">
        <f>H88*1.8</f>
        <v>0</v>
      </c>
      <c r="J88" s="135"/>
      <c r="K88" s="95"/>
      <c r="L88" s="134">
        <f>ROUND(K88/12,2)</f>
        <v>0</v>
      </c>
      <c r="M88" s="134">
        <f>L88*1.8</f>
        <v>0</v>
      </c>
      <c r="N88" s="135"/>
      <c r="O88" s="115">
        <f t="shared" si="1"/>
        <v>0</v>
      </c>
      <c r="P88" s="175">
        <f>ROUND(O88/24,2)</f>
        <v>0</v>
      </c>
      <c r="Q88" s="175">
        <f>P88*1.8</f>
        <v>0</v>
      </c>
      <c r="R88" s="176">
        <v>0</v>
      </c>
    </row>
    <row r="89" spans="1:18" x14ac:dyDescent="0.5">
      <c r="A89" s="61"/>
      <c r="B89" s="33" t="s">
        <v>43</v>
      </c>
      <c r="C89" s="95"/>
      <c r="D89" s="134">
        <f>ROUND(C89/12,2)</f>
        <v>0</v>
      </c>
      <c r="E89" s="134">
        <f>D89*1.8</f>
        <v>0</v>
      </c>
      <c r="F89" s="135"/>
      <c r="G89" s="95"/>
      <c r="H89" s="134">
        <f>ROUND(G89/12,2)</f>
        <v>0</v>
      </c>
      <c r="I89" s="134">
        <f>H89*1.8</f>
        <v>0</v>
      </c>
      <c r="J89" s="135"/>
      <c r="K89" s="95"/>
      <c r="L89" s="134">
        <f>ROUND(K89/12,2)</f>
        <v>0</v>
      </c>
      <c r="M89" s="134">
        <f>L89*1.8</f>
        <v>0</v>
      </c>
      <c r="N89" s="135"/>
      <c r="O89" s="119">
        <f t="shared" si="1"/>
        <v>0</v>
      </c>
      <c r="P89" s="175">
        <f>ROUND(O89/24,2)</f>
        <v>0</v>
      </c>
      <c r="Q89" s="175">
        <f>P89*1.8</f>
        <v>0</v>
      </c>
      <c r="R89" s="176">
        <v>0</v>
      </c>
    </row>
    <row r="90" spans="1:18" x14ac:dyDescent="0.5">
      <c r="A90" s="55" t="s">
        <v>55</v>
      </c>
      <c r="B90" s="33" t="s">
        <v>3</v>
      </c>
      <c r="C90" s="95">
        <v>3270</v>
      </c>
      <c r="D90" s="134">
        <f>ROUND(C90/18,2)</f>
        <v>181.67</v>
      </c>
      <c r="E90" s="134"/>
      <c r="F90" s="135">
        <f>SUM(D90,E91:E92)</f>
        <v>181.67</v>
      </c>
      <c r="G90" s="95">
        <v>3503</v>
      </c>
      <c r="H90" s="134">
        <f>ROUND(G90/18,2)</f>
        <v>194.61</v>
      </c>
      <c r="I90" s="134"/>
      <c r="J90" s="135">
        <f>SUM(H90,I91:I92)</f>
        <v>194.61</v>
      </c>
      <c r="K90" s="106">
        <f>687</f>
        <v>687</v>
      </c>
      <c r="L90" s="134">
        <f>ROUND(K90/18,2)</f>
        <v>38.17</v>
      </c>
      <c r="M90" s="134"/>
      <c r="N90" s="135">
        <f>SUM(L90,M91:M92)</f>
        <v>38.17</v>
      </c>
      <c r="O90" s="115">
        <f t="shared" si="1"/>
        <v>7460</v>
      </c>
      <c r="P90" s="174">
        <f>ROUND(O90/36,2)</f>
        <v>207.22</v>
      </c>
      <c r="Q90" s="175" t="s">
        <v>44</v>
      </c>
      <c r="R90" s="176">
        <f>SUM(P90,Q91:Q92)</f>
        <v>207.22</v>
      </c>
    </row>
    <row r="91" spans="1:18" x14ac:dyDescent="0.5">
      <c r="A91" s="61"/>
      <c r="B91" s="33" t="s">
        <v>42</v>
      </c>
      <c r="C91" s="95"/>
      <c r="D91" s="134">
        <f>ROUND(C91/12,2)</f>
        <v>0</v>
      </c>
      <c r="E91" s="134">
        <f>D91*1.8</f>
        <v>0</v>
      </c>
      <c r="F91" s="135"/>
      <c r="G91" s="95"/>
      <c r="H91" s="134">
        <f>ROUND(G91/12,2)</f>
        <v>0</v>
      </c>
      <c r="I91" s="134">
        <f>H91*1.8</f>
        <v>0</v>
      </c>
      <c r="J91" s="135"/>
      <c r="K91" s="95"/>
      <c r="L91" s="134">
        <f>ROUND(K91/12,2)</f>
        <v>0</v>
      </c>
      <c r="M91" s="134">
        <f>L91*1.8</f>
        <v>0</v>
      </c>
      <c r="N91" s="135"/>
      <c r="O91" s="115">
        <f t="shared" si="1"/>
        <v>0</v>
      </c>
      <c r="P91" s="175">
        <f>ROUND(O91/24,2)</f>
        <v>0</v>
      </c>
      <c r="Q91" s="175">
        <f>P91*1.8</f>
        <v>0</v>
      </c>
      <c r="R91" s="176">
        <v>0</v>
      </c>
    </row>
    <row r="92" spans="1:18" x14ac:dyDescent="0.5">
      <c r="A92" s="61"/>
      <c r="B92" s="33" t="s">
        <v>43</v>
      </c>
      <c r="C92" s="95"/>
      <c r="D92" s="134">
        <f>ROUND(C92/12,2)</f>
        <v>0</v>
      </c>
      <c r="E92" s="134">
        <f>D92*1.8</f>
        <v>0</v>
      </c>
      <c r="F92" s="135"/>
      <c r="G92" s="95"/>
      <c r="H92" s="134">
        <f>ROUND(G92/12,2)</f>
        <v>0</v>
      </c>
      <c r="I92" s="134">
        <f>H92*1.8</f>
        <v>0</v>
      </c>
      <c r="J92" s="135"/>
      <c r="K92" s="95"/>
      <c r="L92" s="134">
        <f>ROUND(K92/12,2)</f>
        <v>0</v>
      </c>
      <c r="M92" s="134">
        <f>L92*1.8</f>
        <v>0</v>
      </c>
      <c r="N92" s="135"/>
      <c r="O92" s="119">
        <f t="shared" si="1"/>
        <v>0</v>
      </c>
      <c r="P92" s="175">
        <f>ROUND(O92/24,2)</f>
        <v>0</v>
      </c>
      <c r="Q92" s="175">
        <f>P92*1.8</f>
        <v>0</v>
      </c>
      <c r="R92" s="176">
        <v>0</v>
      </c>
    </row>
    <row r="93" spans="1:18" x14ac:dyDescent="0.5">
      <c r="A93" s="63" t="s">
        <v>56</v>
      </c>
      <c r="B93" s="38" t="s">
        <v>3</v>
      </c>
      <c r="C93" s="78">
        <f>SUM(C60,C63,C66,C69,C72,C75,C78,C81,C84,C87,C90)</f>
        <v>59911</v>
      </c>
      <c r="D93" s="140">
        <f>ROUND(C93/18,2)</f>
        <v>3328.39</v>
      </c>
      <c r="E93" s="140"/>
      <c r="F93" s="141">
        <f>SUM(D93,E94:E95)</f>
        <v>3373.2459999999996</v>
      </c>
      <c r="G93" s="78">
        <f>SUM(G60,G63,G66,G69,G72,G75,G78,G81,G84,G87,G90)</f>
        <v>50497</v>
      </c>
      <c r="H93" s="140">
        <f>ROUND(G93/18,2)</f>
        <v>2805.39</v>
      </c>
      <c r="I93" s="140"/>
      <c r="J93" s="141">
        <f>SUM(H93,I94:I95)</f>
        <v>2830.14</v>
      </c>
      <c r="K93" s="78">
        <f>SUM(K60,K63,K66,K69,K72,K75,K78,K81,K84,K87,K90)</f>
        <v>2583</v>
      </c>
      <c r="L93" s="140">
        <f>ROUND(K93/18,2)</f>
        <v>143.5</v>
      </c>
      <c r="M93" s="140"/>
      <c r="N93" s="141">
        <f>SUM(L93,M94:M95)</f>
        <v>143.5</v>
      </c>
      <c r="O93" s="120">
        <f t="shared" si="1"/>
        <v>112991</v>
      </c>
      <c r="P93" s="184">
        <f>ROUND(O93/36,2)</f>
        <v>3138.64</v>
      </c>
      <c r="Q93" s="185" t="s">
        <v>44</v>
      </c>
      <c r="R93" s="176">
        <f>SUM(P93,Q94:Q95)</f>
        <v>3173.4519999999998</v>
      </c>
    </row>
    <row r="94" spans="1:18" x14ac:dyDescent="0.5">
      <c r="A94" s="67"/>
      <c r="B94" s="38" t="s">
        <v>42</v>
      </c>
      <c r="C94" s="78">
        <f>SUM(C61,C64,C67,C70,C73,C76,C79,C82,C85,C88,C91)</f>
        <v>114</v>
      </c>
      <c r="D94" s="140">
        <f>ROUND(C94/12,2)</f>
        <v>9.5</v>
      </c>
      <c r="E94" s="140">
        <f>D94*1.8</f>
        <v>17.100000000000001</v>
      </c>
      <c r="F94" s="141"/>
      <c r="G94" s="78">
        <f>SUM(G61,G64,G67,G70,G73,G76,G79,G82,G85,G88,G91)</f>
        <v>69</v>
      </c>
      <c r="H94" s="140">
        <f>ROUND(G94/12,2)</f>
        <v>5.75</v>
      </c>
      <c r="I94" s="140">
        <f>H94*1.8</f>
        <v>10.35</v>
      </c>
      <c r="J94" s="141"/>
      <c r="K94" s="78">
        <f>SUM(K61,K64,K67,K70,K73,K76,K79,K82,K85,K88,K91)</f>
        <v>0</v>
      </c>
      <c r="L94" s="140">
        <f>ROUND(K94/12,2)</f>
        <v>0</v>
      </c>
      <c r="M94" s="140">
        <f>L94*1.8</f>
        <v>0</v>
      </c>
      <c r="N94" s="141"/>
      <c r="O94" s="120">
        <f t="shared" si="1"/>
        <v>183</v>
      </c>
      <c r="P94" s="184">
        <f>ROUND(O94/24,2)</f>
        <v>7.63</v>
      </c>
      <c r="Q94" s="185">
        <f>P94*1.8</f>
        <v>13.734</v>
      </c>
      <c r="R94" s="176">
        <v>0</v>
      </c>
    </row>
    <row r="95" spans="1:18" ht="22.5" thickBot="1" x14ac:dyDescent="0.55000000000000004">
      <c r="A95" s="62"/>
      <c r="B95" s="39" t="s">
        <v>43</v>
      </c>
      <c r="C95" s="79">
        <f>SUM(C62,C65,C68,C71,C74,C77,C80,C83,C86,C89,C92)</f>
        <v>185</v>
      </c>
      <c r="D95" s="142">
        <f>ROUND(C95/12,2)</f>
        <v>15.42</v>
      </c>
      <c r="E95" s="142">
        <f>D95*1.8</f>
        <v>27.756</v>
      </c>
      <c r="F95" s="143"/>
      <c r="G95" s="79">
        <f>SUM(G62,G65,G68,G71,G74,G77,G80,G83,G86,G89,G92)</f>
        <v>96</v>
      </c>
      <c r="H95" s="142">
        <f>ROUND(G95/12,2)</f>
        <v>8</v>
      </c>
      <c r="I95" s="142">
        <f>H95*1.8</f>
        <v>14.4</v>
      </c>
      <c r="J95" s="143"/>
      <c r="K95" s="79">
        <f>SUM(K62,K65,,K68,K71,K74,K77,K80,K83,K86,K89,K92)</f>
        <v>0</v>
      </c>
      <c r="L95" s="142">
        <f>ROUND(K95/12,2)</f>
        <v>0</v>
      </c>
      <c r="M95" s="142">
        <f>L95*1.8</f>
        <v>0</v>
      </c>
      <c r="N95" s="143"/>
      <c r="O95" s="121">
        <f t="shared" si="1"/>
        <v>281</v>
      </c>
      <c r="P95" s="186">
        <f>ROUND(O95/24,2)</f>
        <v>11.71</v>
      </c>
      <c r="Q95" s="187">
        <f>P95*1.8</f>
        <v>21.078000000000003</v>
      </c>
      <c r="R95" s="179">
        <v>0</v>
      </c>
    </row>
    <row r="96" spans="1:18" x14ac:dyDescent="0.5">
      <c r="A96" s="58" t="s">
        <v>11</v>
      </c>
      <c r="B96" s="36"/>
      <c r="C96" s="97"/>
      <c r="D96" s="138"/>
      <c r="E96" s="138"/>
      <c r="F96" s="139"/>
      <c r="G96" s="97"/>
      <c r="H96" s="138"/>
      <c r="I96" s="168"/>
      <c r="J96" s="139"/>
      <c r="K96" s="108"/>
      <c r="L96" s="138"/>
      <c r="M96" s="138"/>
      <c r="N96" s="139"/>
      <c r="O96" s="118"/>
      <c r="P96" s="183"/>
      <c r="Q96" s="181"/>
      <c r="R96" s="182"/>
    </row>
    <row r="97" spans="1:18" x14ac:dyDescent="0.5">
      <c r="A97" s="55" t="s">
        <v>11</v>
      </c>
      <c r="B97" s="33" t="s">
        <v>3</v>
      </c>
      <c r="C97" s="95">
        <f>168+348</f>
        <v>516</v>
      </c>
      <c r="D97" s="134">
        <f>ROUND(C97/18,2)</f>
        <v>28.67</v>
      </c>
      <c r="E97" s="134"/>
      <c r="F97" s="135">
        <f>SUM(D97,E98:E99)</f>
        <v>33.17</v>
      </c>
      <c r="G97" s="95">
        <f>3</f>
        <v>3</v>
      </c>
      <c r="H97" s="134">
        <f>ROUND(G97/18,2)</f>
        <v>0.17</v>
      </c>
      <c r="I97" s="134"/>
      <c r="J97" s="135">
        <f>SUM(H97,I98:I99)</f>
        <v>0.17</v>
      </c>
      <c r="K97" s="106"/>
      <c r="L97" s="134">
        <f>ROUND(K97/18,2)</f>
        <v>0</v>
      </c>
      <c r="M97" s="134"/>
      <c r="N97" s="135">
        <f>SUM(L97,M98:M99)</f>
        <v>7.65</v>
      </c>
      <c r="O97" s="115">
        <f t="shared" ref="O97:O111" si="2">SUM(C97,G97,K97)</f>
        <v>519</v>
      </c>
      <c r="P97" s="174">
        <f>ROUND(O97/36,2)</f>
        <v>14.42</v>
      </c>
      <c r="Q97" s="175" t="s">
        <v>44</v>
      </c>
      <c r="R97" s="176">
        <f>SUM(P97,Q98:Q99)</f>
        <v>20.503999999999998</v>
      </c>
    </row>
    <row r="98" spans="1:18" x14ac:dyDescent="0.5">
      <c r="A98" s="56"/>
      <c r="B98" s="33" t="s">
        <v>42</v>
      </c>
      <c r="C98" s="95">
        <f>9+21</f>
        <v>30</v>
      </c>
      <c r="D98" s="134">
        <f>ROUND(C98/12,2)</f>
        <v>2.5</v>
      </c>
      <c r="E98" s="134">
        <f>D98*1.8</f>
        <v>4.5</v>
      </c>
      <c r="F98" s="135"/>
      <c r="G98" s="95"/>
      <c r="H98" s="134">
        <f>ROUND(G98/12,2)</f>
        <v>0</v>
      </c>
      <c r="I98" s="134">
        <f>H98*1.8</f>
        <v>0</v>
      </c>
      <c r="J98" s="135"/>
      <c r="K98" s="95">
        <v>51</v>
      </c>
      <c r="L98" s="134">
        <f>ROUND(K98/12,2)</f>
        <v>4.25</v>
      </c>
      <c r="M98" s="134">
        <f>L98*1.8</f>
        <v>7.65</v>
      </c>
      <c r="N98" s="135"/>
      <c r="O98" s="115">
        <f t="shared" si="2"/>
        <v>81</v>
      </c>
      <c r="P98" s="175">
        <f>ROUND(O98/24,2)</f>
        <v>3.38</v>
      </c>
      <c r="Q98" s="175">
        <f>P98*1.8</f>
        <v>6.0839999999999996</v>
      </c>
      <c r="R98" s="176">
        <v>0</v>
      </c>
    </row>
    <row r="99" spans="1:18" x14ac:dyDescent="0.5">
      <c r="A99" s="56"/>
      <c r="B99" s="33" t="s">
        <v>43</v>
      </c>
      <c r="C99" s="95"/>
      <c r="D99" s="134">
        <f>ROUND(C99/12,2)</f>
        <v>0</v>
      </c>
      <c r="E99" s="134">
        <f>D99*1.8</f>
        <v>0</v>
      </c>
      <c r="F99" s="135"/>
      <c r="G99" s="95"/>
      <c r="H99" s="134">
        <f>ROUND(G99/12,2)</f>
        <v>0</v>
      </c>
      <c r="I99" s="134">
        <f>H99*1.8</f>
        <v>0</v>
      </c>
      <c r="J99" s="135"/>
      <c r="K99" s="95"/>
      <c r="L99" s="134">
        <f>ROUND(K99/12,2)</f>
        <v>0</v>
      </c>
      <c r="M99" s="134">
        <f>L99*1.8</f>
        <v>0</v>
      </c>
      <c r="N99" s="135"/>
      <c r="O99" s="119">
        <f t="shared" si="2"/>
        <v>0</v>
      </c>
      <c r="P99" s="175">
        <f>ROUND(O99/24,2)</f>
        <v>0</v>
      </c>
      <c r="Q99" s="175">
        <f>P99*1.8</f>
        <v>0</v>
      </c>
      <c r="R99" s="176">
        <v>0</v>
      </c>
    </row>
    <row r="100" spans="1:18" x14ac:dyDescent="0.5">
      <c r="A100" s="55" t="s">
        <v>57</v>
      </c>
      <c r="B100" s="33" t="s">
        <v>3</v>
      </c>
      <c r="C100" s="95">
        <f>4720</f>
        <v>4720</v>
      </c>
      <c r="D100" s="134">
        <f>ROUND(C100/18,2)</f>
        <v>262.22000000000003</v>
      </c>
      <c r="E100" s="134"/>
      <c r="F100" s="135">
        <f>SUM(D100,E101:E102)</f>
        <v>262.22000000000003</v>
      </c>
      <c r="G100" s="95">
        <f>3868</f>
        <v>3868</v>
      </c>
      <c r="H100" s="134">
        <f>ROUND(G100/18,2)</f>
        <v>214.89</v>
      </c>
      <c r="I100" s="134"/>
      <c r="J100" s="135">
        <f>SUM(H100,I101:I102)</f>
        <v>214.89</v>
      </c>
      <c r="K100" s="106">
        <f>535</f>
        <v>535</v>
      </c>
      <c r="L100" s="134">
        <f>ROUND(K100/18,2)</f>
        <v>29.72</v>
      </c>
      <c r="M100" s="134"/>
      <c r="N100" s="135">
        <f>SUM(L100,M101:M102)</f>
        <v>29.72</v>
      </c>
      <c r="O100" s="115">
        <f t="shared" si="2"/>
        <v>9123</v>
      </c>
      <c r="P100" s="174">
        <f>ROUND(O100/36,2)</f>
        <v>253.42</v>
      </c>
      <c r="Q100" s="175" t="s">
        <v>44</v>
      </c>
      <c r="R100" s="176">
        <f>SUM(P100,Q101:Q102)</f>
        <v>253.42</v>
      </c>
    </row>
    <row r="101" spans="1:18" x14ac:dyDescent="0.5">
      <c r="A101" s="56"/>
      <c r="B101" s="33" t="s">
        <v>42</v>
      </c>
      <c r="C101" s="95"/>
      <c r="D101" s="134">
        <f>ROUND(C101/12,2)</f>
        <v>0</v>
      </c>
      <c r="E101" s="134">
        <f>D101*1.8</f>
        <v>0</v>
      </c>
      <c r="F101" s="135"/>
      <c r="G101" s="95"/>
      <c r="H101" s="134">
        <f>ROUND(G101/12,2)</f>
        <v>0</v>
      </c>
      <c r="I101" s="134">
        <f>H101*1.8</f>
        <v>0</v>
      </c>
      <c r="J101" s="135"/>
      <c r="K101" s="95"/>
      <c r="L101" s="134">
        <f>ROUND(K101/12,2)</f>
        <v>0</v>
      </c>
      <c r="M101" s="134">
        <f>L101*1.8</f>
        <v>0</v>
      </c>
      <c r="N101" s="135"/>
      <c r="O101" s="115">
        <f t="shared" si="2"/>
        <v>0</v>
      </c>
      <c r="P101" s="175">
        <f>ROUND(O101/24,2)</f>
        <v>0</v>
      </c>
      <c r="Q101" s="175">
        <f>P101*1.8</f>
        <v>0</v>
      </c>
      <c r="R101" s="176">
        <v>0</v>
      </c>
    </row>
    <row r="102" spans="1:18" x14ac:dyDescent="0.5">
      <c r="A102" s="56"/>
      <c r="B102" s="33" t="s">
        <v>43</v>
      </c>
      <c r="C102" s="95"/>
      <c r="D102" s="134">
        <f>ROUND(C102/12,2)</f>
        <v>0</v>
      </c>
      <c r="E102" s="134">
        <f>D102*1.8</f>
        <v>0</v>
      </c>
      <c r="F102" s="135"/>
      <c r="G102" s="95"/>
      <c r="H102" s="134">
        <f>ROUND(G102/12,2)</f>
        <v>0</v>
      </c>
      <c r="I102" s="134">
        <f>H102*1.8</f>
        <v>0</v>
      </c>
      <c r="J102" s="135"/>
      <c r="K102" s="95"/>
      <c r="L102" s="134">
        <f>ROUND(K102/12,2)</f>
        <v>0</v>
      </c>
      <c r="M102" s="134">
        <f>L102*1.8</f>
        <v>0</v>
      </c>
      <c r="N102" s="135"/>
      <c r="O102" s="119">
        <f t="shared" si="2"/>
        <v>0</v>
      </c>
      <c r="P102" s="175">
        <f>ROUND(O102/24,2)</f>
        <v>0</v>
      </c>
      <c r="Q102" s="175">
        <f>P102*1.8</f>
        <v>0</v>
      </c>
      <c r="R102" s="176">
        <v>0</v>
      </c>
    </row>
    <row r="103" spans="1:18" x14ac:dyDescent="0.5">
      <c r="A103" s="55" t="s">
        <v>58</v>
      </c>
      <c r="B103" s="33" t="s">
        <v>3</v>
      </c>
      <c r="C103" s="95">
        <f>11790</f>
        <v>11790</v>
      </c>
      <c r="D103" s="134">
        <f>ROUND(C103/18,2)</f>
        <v>655</v>
      </c>
      <c r="E103" s="134"/>
      <c r="F103" s="135">
        <f>SUM(D103,E104:E105)</f>
        <v>751.75</v>
      </c>
      <c r="G103" s="95">
        <f>7974</f>
        <v>7974</v>
      </c>
      <c r="H103" s="134">
        <f>ROUND(G103/18,2)</f>
        <v>443</v>
      </c>
      <c r="I103" s="134"/>
      <c r="J103" s="135">
        <f>SUM(H103,I104:I105)</f>
        <v>509.6</v>
      </c>
      <c r="K103" s="106"/>
      <c r="L103" s="134">
        <f>ROUND(K103/18,2)</f>
        <v>0</v>
      </c>
      <c r="M103" s="134"/>
      <c r="N103" s="135">
        <f>SUM(L103,M104:M105)</f>
        <v>17.100000000000001</v>
      </c>
      <c r="O103" s="115">
        <f t="shared" si="2"/>
        <v>19764</v>
      </c>
      <c r="P103" s="174">
        <f>ROUND(O103/36,2)</f>
        <v>549</v>
      </c>
      <c r="Q103" s="175" t="s">
        <v>44</v>
      </c>
      <c r="R103" s="176">
        <f>SUM(P103,Q104:Q105)</f>
        <v>639.23400000000004</v>
      </c>
    </row>
    <row r="104" spans="1:18" x14ac:dyDescent="0.5">
      <c r="A104" s="56"/>
      <c r="B104" s="33" t="s">
        <v>42</v>
      </c>
      <c r="C104" s="95">
        <f>624+21</f>
        <v>645</v>
      </c>
      <c r="D104" s="134">
        <f>ROUND(C104/12,2)</f>
        <v>53.75</v>
      </c>
      <c r="E104" s="134">
        <f>D104*1.8</f>
        <v>96.75</v>
      </c>
      <c r="F104" s="135"/>
      <c r="G104" s="95">
        <f>372+72</f>
        <v>444</v>
      </c>
      <c r="H104" s="134">
        <f>ROUND(G104/12,2)</f>
        <v>37</v>
      </c>
      <c r="I104" s="134">
        <f>H104*1.8</f>
        <v>66.600000000000009</v>
      </c>
      <c r="J104" s="135"/>
      <c r="K104" s="95">
        <f>48+66</f>
        <v>114</v>
      </c>
      <c r="L104" s="134">
        <f>ROUND(K104/12,2)</f>
        <v>9.5</v>
      </c>
      <c r="M104" s="134">
        <f>L104*1.8</f>
        <v>17.100000000000001</v>
      </c>
      <c r="N104" s="135"/>
      <c r="O104" s="115">
        <f t="shared" si="2"/>
        <v>1203</v>
      </c>
      <c r="P104" s="175">
        <f>ROUND(O104/24,2)</f>
        <v>50.13</v>
      </c>
      <c r="Q104" s="175">
        <f>P104*1.8</f>
        <v>90.234000000000009</v>
      </c>
      <c r="R104" s="176">
        <v>0</v>
      </c>
    </row>
    <row r="105" spans="1:18" x14ac:dyDescent="0.5">
      <c r="A105" s="56"/>
      <c r="B105" s="33" t="s">
        <v>43</v>
      </c>
      <c r="C105" s="95"/>
      <c r="D105" s="134">
        <f>ROUND(C105/12,2)</f>
        <v>0</v>
      </c>
      <c r="E105" s="134">
        <f>D105*1.8</f>
        <v>0</v>
      </c>
      <c r="F105" s="135"/>
      <c r="G105" s="95"/>
      <c r="H105" s="134">
        <f>ROUND(G105/12,2)</f>
        <v>0</v>
      </c>
      <c r="I105" s="134">
        <f>H105*1.8</f>
        <v>0</v>
      </c>
      <c r="J105" s="135"/>
      <c r="K105" s="95"/>
      <c r="L105" s="134">
        <f>ROUND(K105/12,2)</f>
        <v>0</v>
      </c>
      <c r="M105" s="134">
        <f>L105*1.8</f>
        <v>0</v>
      </c>
      <c r="N105" s="135"/>
      <c r="O105" s="119">
        <f t="shared" si="2"/>
        <v>0</v>
      </c>
      <c r="P105" s="175">
        <f>ROUND(O105/24,2)</f>
        <v>0</v>
      </c>
      <c r="Q105" s="175">
        <f>P105*1.8</f>
        <v>0</v>
      </c>
      <c r="R105" s="176">
        <v>0</v>
      </c>
    </row>
    <row r="106" spans="1:18" x14ac:dyDescent="0.5">
      <c r="A106" s="55" t="s">
        <v>92</v>
      </c>
      <c r="B106" s="33" t="s">
        <v>3</v>
      </c>
      <c r="C106" s="95">
        <f>987</f>
        <v>987</v>
      </c>
      <c r="D106" s="134">
        <f>ROUND(C106/18,2)</f>
        <v>54.83</v>
      </c>
      <c r="E106" s="134"/>
      <c r="F106" s="135">
        <f>SUM(D106,E107:E108)</f>
        <v>54.83</v>
      </c>
      <c r="G106" s="95">
        <f>1830</f>
        <v>1830</v>
      </c>
      <c r="H106" s="134">
        <f>ROUND(G106/18,2)</f>
        <v>101.67</v>
      </c>
      <c r="I106" s="134"/>
      <c r="J106" s="135">
        <f>SUM(H106,I107:I108)</f>
        <v>103.02</v>
      </c>
      <c r="K106" s="106"/>
      <c r="L106" s="134">
        <f>ROUND(K106/18,2)</f>
        <v>0</v>
      </c>
      <c r="M106" s="134"/>
      <c r="N106" s="135">
        <f>SUM(L106,M107:M108)</f>
        <v>0</v>
      </c>
      <c r="O106" s="115">
        <f t="shared" si="2"/>
        <v>2817</v>
      </c>
      <c r="P106" s="174">
        <f>ROUND(O106/36,2)</f>
        <v>78.25</v>
      </c>
      <c r="Q106" s="175" t="s">
        <v>44</v>
      </c>
      <c r="R106" s="176">
        <f>SUM(P106,Q107:Q108)</f>
        <v>78.933999999999997</v>
      </c>
    </row>
    <row r="107" spans="1:18" x14ac:dyDescent="0.5">
      <c r="A107" s="56"/>
      <c r="B107" s="33" t="s">
        <v>42</v>
      </c>
      <c r="C107" s="95"/>
      <c r="D107" s="134">
        <f>ROUND(C107/12,2)</f>
        <v>0</v>
      </c>
      <c r="E107" s="134">
        <f>D107*1.8</f>
        <v>0</v>
      </c>
      <c r="F107" s="135"/>
      <c r="G107" s="95">
        <f>9</f>
        <v>9</v>
      </c>
      <c r="H107" s="134">
        <f>ROUND(G107/12,2)</f>
        <v>0.75</v>
      </c>
      <c r="I107" s="134">
        <f>H107*1.8</f>
        <v>1.35</v>
      </c>
      <c r="J107" s="135"/>
      <c r="K107" s="95"/>
      <c r="L107" s="134">
        <f>ROUND(K107/12,2)</f>
        <v>0</v>
      </c>
      <c r="M107" s="134">
        <f>L107*1.8</f>
        <v>0</v>
      </c>
      <c r="N107" s="135"/>
      <c r="O107" s="115">
        <f t="shared" si="2"/>
        <v>9</v>
      </c>
      <c r="P107" s="175">
        <f>ROUND(O107/24,2)</f>
        <v>0.38</v>
      </c>
      <c r="Q107" s="175">
        <f>P107*1.8</f>
        <v>0.68400000000000005</v>
      </c>
      <c r="R107" s="176">
        <v>0</v>
      </c>
    </row>
    <row r="108" spans="1:18" x14ac:dyDescent="0.5">
      <c r="A108" s="56"/>
      <c r="B108" s="33" t="s">
        <v>43</v>
      </c>
      <c r="C108" s="95"/>
      <c r="D108" s="134">
        <f>ROUND(C108/12,2)</f>
        <v>0</v>
      </c>
      <c r="E108" s="134">
        <f>D108*1.8</f>
        <v>0</v>
      </c>
      <c r="F108" s="135"/>
      <c r="G108" s="95"/>
      <c r="H108" s="134">
        <f>ROUND(G108/12,2)</f>
        <v>0</v>
      </c>
      <c r="I108" s="134">
        <f>H108*1.8</f>
        <v>0</v>
      </c>
      <c r="J108" s="135"/>
      <c r="K108" s="95"/>
      <c r="L108" s="134">
        <f>ROUND(K108/12,2)</f>
        <v>0</v>
      </c>
      <c r="M108" s="134">
        <f>L108*1.8</f>
        <v>0</v>
      </c>
      <c r="N108" s="135"/>
      <c r="O108" s="119">
        <f t="shared" si="2"/>
        <v>0</v>
      </c>
      <c r="P108" s="175">
        <f>ROUND(O108/24,2)</f>
        <v>0</v>
      </c>
      <c r="Q108" s="175">
        <f>P108*1.8</f>
        <v>0</v>
      </c>
      <c r="R108" s="176">
        <v>0</v>
      </c>
    </row>
    <row r="109" spans="1:18" x14ac:dyDescent="0.5">
      <c r="A109" s="63" t="s">
        <v>56</v>
      </c>
      <c r="B109" s="38" t="s">
        <v>3</v>
      </c>
      <c r="C109" s="78">
        <f>SUM(C97,C100,C103,C106)</f>
        <v>18013</v>
      </c>
      <c r="D109" s="140">
        <f>ROUND(C109/18,2)</f>
        <v>1000.72</v>
      </c>
      <c r="E109" s="140"/>
      <c r="F109" s="141">
        <f>SUM(D109,E110:E111)</f>
        <v>1101.97</v>
      </c>
      <c r="G109" s="78">
        <f>SUM(G97,G100,G103,G106)</f>
        <v>13675</v>
      </c>
      <c r="H109" s="140">
        <f>ROUND(G109/18,2)</f>
        <v>759.72</v>
      </c>
      <c r="I109" s="140"/>
      <c r="J109" s="141">
        <f>SUM(H109,I110:I111)</f>
        <v>827.67000000000007</v>
      </c>
      <c r="K109" s="78">
        <f>SUM(K97,K100,K103,K106)</f>
        <v>535</v>
      </c>
      <c r="L109" s="140">
        <f>ROUND(K109/18,2)</f>
        <v>29.72</v>
      </c>
      <c r="M109" s="140"/>
      <c r="N109" s="141">
        <f>SUM(L109,M110:M111)</f>
        <v>54.47</v>
      </c>
      <c r="O109" s="120">
        <f t="shared" si="2"/>
        <v>32223</v>
      </c>
      <c r="P109" s="184">
        <f>ROUND(O109/36,2)</f>
        <v>895.08</v>
      </c>
      <c r="Q109" s="185" t="s">
        <v>44</v>
      </c>
      <c r="R109" s="176">
        <f>SUM(P109,Q110:Q111)</f>
        <v>992.06400000000008</v>
      </c>
    </row>
    <row r="110" spans="1:18" x14ac:dyDescent="0.5">
      <c r="A110" s="68"/>
      <c r="B110" s="38" t="s">
        <v>42</v>
      </c>
      <c r="C110" s="78">
        <f>SUM(C98,C101,C104,C107)</f>
        <v>675</v>
      </c>
      <c r="D110" s="140">
        <f>ROUND(C110/12,2)</f>
        <v>56.25</v>
      </c>
      <c r="E110" s="140">
        <f>D110*1.8</f>
        <v>101.25</v>
      </c>
      <c r="F110" s="141"/>
      <c r="G110" s="78">
        <f>SUM(G98,G101,G104,G107)</f>
        <v>453</v>
      </c>
      <c r="H110" s="140">
        <f>ROUND(G110/12,2)</f>
        <v>37.75</v>
      </c>
      <c r="I110" s="140">
        <f>H110*1.8</f>
        <v>67.95</v>
      </c>
      <c r="J110" s="141"/>
      <c r="K110" s="78">
        <f>SUM(K98,K101,K104,K107)</f>
        <v>165</v>
      </c>
      <c r="L110" s="140">
        <f>ROUND(K110/12,2)</f>
        <v>13.75</v>
      </c>
      <c r="M110" s="140">
        <f>L110*1.8</f>
        <v>24.75</v>
      </c>
      <c r="N110" s="141"/>
      <c r="O110" s="122">
        <f t="shared" si="2"/>
        <v>1293</v>
      </c>
      <c r="P110" s="185">
        <f>ROUND(O110/24,2)</f>
        <v>53.88</v>
      </c>
      <c r="Q110" s="185">
        <f>P110*1.8</f>
        <v>96.984000000000009</v>
      </c>
      <c r="R110" s="176">
        <v>0</v>
      </c>
    </row>
    <row r="111" spans="1:18" ht="22.5" thickBot="1" x14ac:dyDescent="0.55000000000000004">
      <c r="A111" s="57"/>
      <c r="B111" s="39" t="s">
        <v>43</v>
      </c>
      <c r="C111" s="79">
        <f>SUM(C99,C102,C105,C108)</f>
        <v>0</v>
      </c>
      <c r="D111" s="142">
        <f>ROUND(C111/12,2)</f>
        <v>0</v>
      </c>
      <c r="E111" s="142">
        <f>D111*1.8</f>
        <v>0</v>
      </c>
      <c r="F111" s="143"/>
      <c r="G111" s="79">
        <f>SUM(G99,G102,G105,G108)</f>
        <v>0</v>
      </c>
      <c r="H111" s="142">
        <f>ROUND(G111/12,2)</f>
        <v>0</v>
      </c>
      <c r="I111" s="142">
        <f>H111*1.8</f>
        <v>0</v>
      </c>
      <c r="J111" s="143"/>
      <c r="K111" s="79">
        <f>SUM(K99,K102,K105,K108)</f>
        <v>0</v>
      </c>
      <c r="L111" s="142">
        <f>ROUND(K111/12,2)</f>
        <v>0</v>
      </c>
      <c r="M111" s="142">
        <f>L111*1.8</f>
        <v>0</v>
      </c>
      <c r="N111" s="143"/>
      <c r="O111" s="123">
        <f t="shared" si="2"/>
        <v>0</v>
      </c>
      <c r="P111" s="187">
        <f>ROUND(O111/24,2)</f>
        <v>0</v>
      </c>
      <c r="Q111" s="187">
        <f>P111*1.8</f>
        <v>0</v>
      </c>
      <c r="R111" s="179">
        <v>0</v>
      </c>
    </row>
    <row r="112" spans="1:18" x14ac:dyDescent="0.5">
      <c r="A112" s="58" t="s">
        <v>12</v>
      </c>
      <c r="B112" s="36"/>
      <c r="C112" s="97"/>
      <c r="D112" s="138"/>
      <c r="E112" s="138"/>
      <c r="F112" s="139"/>
      <c r="G112" s="97"/>
      <c r="H112" s="138"/>
      <c r="I112" s="168"/>
      <c r="J112" s="139"/>
      <c r="K112" s="111"/>
      <c r="L112" s="138"/>
      <c r="M112" s="138"/>
      <c r="N112" s="139"/>
      <c r="O112" s="124"/>
      <c r="P112" s="183"/>
      <c r="Q112" s="181"/>
      <c r="R112" s="182"/>
    </row>
    <row r="113" spans="1:18" x14ac:dyDescent="0.5">
      <c r="A113" s="55" t="s">
        <v>41</v>
      </c>
      <c r="B113" s="33" t="s">
        <v>3</v>
      </c>
      <c r="C113" s="95">
        <f>6871+4138+1783</f>
        <v>12792</v>
      </c>
      <c r="D113" s="134">
        <f>ROUND(C113/18,2)</f>
        <v>710.67</v>
      </c>
      <c r="E113" s="134"/>
      <c r="F113" s="135">
        <f>SUM(D113,E114:E115)</f>
        <v>732.51</v>
      </c>
      <c r="G113" s="95">
        <f>4895+2780+1545</f>
        <v>9220</v>
      </c>
      <c r="H113" s="134">
        <f>ROUND(G113/18,2)</f>
        <v>512.22</v>
      </c>
      <c r="I113" s="134"/>
      <c r="J113" s="135">
        <f>SUM(H113,I114:I115)</f>
        <v>539.06000000000006</v>
      </c>
      <c r="K113" s="95">
        <f>216+81+218</f>
        <v>515</v>
      </c>
      <c r="L113" s="134">
        <f>ROUND(K113/18,2)</f>
        <v>28.61</v>
      </c>
      <c r="M113" s="134"/>
      <c r="N113" s="135">
        <f>SUM(L113,M114:M115)</f>
        <v>28.61</v>
      </c>
      <c r="O113" s="115">
        <f>SUM(C113,G113,K113)</f>
        <v>22527</v>
      </c>
      <c r="P113" s="174">
        <f>ROUND(O113/36,2)</f>
        <v>625.75</v>
      </c>
      <c r="Q113" s="175" t="s">
        <v>44</v>
      </c>
      <c r="R113" s="176">
        <f>SUM(P113,Q114:Q115)</f>
        <v>650.09</v>
      </c>
    </row>
    <row r="114" spans="1:18" x14ac:dyDescent="0.5">
      <c r="A114" s="68"/>
      <c r="B114" s="33" t="s">
        <v>42</v>
      </c>
      <c r="C114" s="95">
        <f>30+6</f>
        <v>36</v>
      </c>
      <c r="D114" s="134">
        <f>ROUND(C114/12,2)</f>
        <v>3</v>
      </c>
      <c r="E114" s="134">
        <f>D114*2</f>
        <v>6</v>
      </c>
      <c r="F114" s="135"/>
      <c r="G114" s="95">
        <f>30+36</f>
        <v>66</v>
      </c>
      <c r="H114" s="134">
        <f>ROUND(G114/12,2)</f>
        <v>5.5</v>
      </c>
      <c r="I114" s="134">
        <f>H114*2</f>
        <v>11</v>
      </c>
      <c r="J114" s="135"/>
      <c r="K114" s="95"/>
      <c r="L114" s="134">
        <f>ROUND(K114/12,2)</f>
        <v>0</v>
      </c>
      <c r="M114" s="134">
        <f>L114*2</f>
        <v>0</v>
      </c>
      <c r="N114" s="135"/>
      <c r="O114" s="119">
        <f>SUM(C114,G114,K114)</f>
        <v>102</v>
      </c>
      <c r="P114" s="174">
        <f>ROUND(O114/24,2)</f>
        <v>4.25</v>
      </c>
      <c r="Q114" s="175">
        <f>P114*2</f>
        <v>8.5</v>
      </c>
      <c r="R114" s="176">
        <v>0</v>
      </c>
    </row>
    <row r="115" spans="1:18" ht="22.5" thickBot="1" x14ac:dyDescent="0.55000000000000004">
      <c r="A115" s="57"/>
      <c r="B115" s="34" t="s">
        <v>43</v>
      </c>
      <c r="C115" s="96">
        <f>95</f>
        <v>95</v>
      </c>
      <c r="D115" s="136">
        <f>ROUND(C115/12,2)</f>
        <v>7.92</v>
      </c>
      <c r="E115" s="136">
        <f>D115*2</f>
        <v>15.84</v>
      </c>
      <c r="F115" s="137"/>
      <c r="G115" s="96">
        <f>95</f>
        <v>95</v>
      </c>
      <c r="H115" s="136">
        <f>ROUND(G115/12,2)</f>
        <v>7.92</v>
      </c>
      <c r="I115" s="136">
        <f>H115*2</f>
        <v>15.84</v>
      </c>
      <c r="J115" s="137"/>
      <c r="K115" s="96"/>
      <c r="L115" s="136">
        <f>ROUND(K115/12,2)</f>
        <v>0</v>
      </c>
      <c r="M115" s="136">
        <f>L115*2</f>
        <v>0</v>
      </c>
      <c r="N115" s="137"/>
      <c r="O115" s="125">
        <f>SUM(C115,G115,K115)</f>
        <v>190</v>
      </c>
      <c r="P115" s="177">
        <f>ROUND(O115/24,2)</f>
        <v>7.92</v>
      </c>
      <c r="Q115" s="178">
        <f>P115*2</f>
        <v>15.84</v>
      </c>
      <c r="R115" s="179">
        <v>0</v>
      </c>
    </row>
    <row r="116" spans="1:18" x14ac:dyDescent="0.5">
      <c r="A116" s="58" t="s">
        <v>13</v>
      </c>
      <c r="B116" s="36"/>
      <c r="C116" s="97"/>
      <c r="D116" s="138"/>
      <c r="E116" s="138"/>
      <c r="F116" s="139"/>
      <c r="G116" s="97"/>
      <c r="H116" s="138"/>
      <c r="I116" s="168"/>
      <c r="J116" s="139"/>
      <c r="K116" s="111"/>
      <c r="L116" s="138"/>
      <c r="M116" s="138"/>
      <c r="N116" s="139"/>
      <c r="O116" s="124"/>
      <c r="P116" s="183"/>
      <c r="Q116" s="181"/>
      <c r="R116" s="182"/>
    </row>
    <row r="117" spans="1:18" x14ac:dyDescent="0.5">
      <c r="A117" s="55" t="s">
        <v>41</v>
      </c>
      <c r="B117" s="33" t="s">
        <v>3</v>
      </c>
      <c r="C117" s="95">
        <f>15652+7824+6</f>
        <v>23482</v>
      </c>
      <c r="D117" s="134">
        <f>ROUND(C117/18,2)</f>
        <v>1304.56</v>
      </c>
      <c r="E117" s="134"/>
      <c r="F117" s="135">
        <f>SUM(D117,E118:E119)</f>
        <v>1365.22</v>
      </c>
      <c r="G117" s="95">
        <f>14924+7776+5</f>
        <v>22705</v>
      </c>
      <c r="H117" s="134">
        <f>ROUND(G117/18,2)</f>
        <v>1261.3900000000001</v>
      </c>
      <c r="I117" s="134"/>
      <c r="J117" s="135">
        <f>SUM(H117,I118:I119)</f>
        <v>1300.8900000000001</v>
      </c>
      <c r="K117" s="95">
        <f>156</f>
        <v>156</v>
      </c>
      <c r="L117" s="134">
        <f>ROUND(K117/18,2)</f>
        <v>8.67</v>
      </c>
      <c r="M117" s="134"/>
      <c r="N117" s="135">
        <f>SUM(L117,M118:M119)</f>
        <v>8.67</v>
      </c>
      <c r="O117" s="115">
        <f>SUM(C117,G117,K117)</f>
        <v>46343</v>
      </c>
      <c r="P117" s="174">
        <f>ROUND(O117/36,2)</f>
        <v>1287.31</v>
      </c>
      <c r="Q117" s="175" t="s">
        <v>44</v>
      </c>
      <c r="R117" s="176">
        <f>SUM(P117,Q118:Q119)</f>
        <v>1337.4099999999999</v>
      </c>
    </row>
    <row r="118" spans="1:18" x14ac:dyDescent="0.5">
      <c r="A118" s="68"/>
      <c r="B118" s="33" t="s">
        <v>42</v>
      </c>
      <c r="C118" s="95">
        <f>21+292+12</f>
        <v>325</v>
      </c>
      <c r="D118" s="134">
        <f>ROUND(C118/12,2)</f>
        <v>27.08</v>
      </c>
      <c r="E118" s="134">
        <f>D118*2</f>
        <v>54.16</v>
      </c>
      <c r="F118" s="135"/>
      <c r="G118" s="95">
        <f>173+28</f>
        <v>201</v>
      </c>
      <c r="H118" s="134">
        <f>ROUND(G118/12,2)</f>
        <v>16.75</v>
      </c>
      <c r="I118" s="134">
        <f>H118*2</f>
        <v>33.5</v>
      </c>
      <c r="J118" s="135"/>
      <c r="K118" s="95"/>
      <c r="L118" s="134">
        <f>ROUND(K118/12,2)</f>
        <v>0</v>
      </c>
      <c r="M118" s="134">
        <f>L118*2</f>
        <v>0</v>
      </c>
      <c r="N118" s="135"/>
      <c r="O118" s="119">
        <f>SUM(C118,G118,K118)</f>
        <v>526</v>
      </c>
      <c r="P118" s="174">
        <f>ROUND(O118/24,2)</f>
        <v>21.92</v>
      </c>
      <c r="Q118" s="175">
        <f>P118*2</f>
        <v>43.84</v>
      </c>
      <c r="R118" s="176">
        <v>0</v>
      </c>
    </row>
    <row r="119" spans="1:18" ht="22.5" thickBot="1" x14ac:dyDescent="0.55000000000000004">
      <c r="A119" s="57"/>
      <c r="B119" s="34" t="s">
        <v>43</v>
      </c>
      <c r="C119" s="96">
        <f>12+27</f>
        <v>39</v>
      </c>
      <c r="D119" s="136">
        <f>ROUND(C119/12,2)</f>
        <v>3.25</v>
      </c>
      <c r="E119" s="136">
        <f>D119*2</f>
        <v>6.5</v>
      </c>
      <c r="F119" s="137"/>
      <c r="G119" s="96">
        <f>36</f>
        <v>36</v>
      </c>
      <c r="H119" s="136">
        <f>ROUND(G119/12,2)</f>
        <v>3</v>
      </c>
      <c r="I119" s="136">
        <f>H119*2</f>
        <v>6</v>
      </c>
      <c r="J119" s="137"/>
      <c r="K119" s="96"/>
      <c r="L119" s="136">
        <f>ROUND(K119/12,2)</f>
        <v>0</v>
      </c>
      <c r="M119" s="136">
        <f>L119*2</f>
        <v>0</v>
      </c>
      <c r="N119" s="137"/>
      <c r="O119" s="125">
        <f>SUM(C119,G119,K119)</f>
        <v>75</v>
      </c>
      <c r="P119" s="177">
        <f>ROUND(O119/24,2)</f>
        <v>3.13</v>
      </c>
      <c r="Q119" s="178">
        <f>P119*2</f>
        <v>6.26</v>
      </c>
      <c r="R119" s="179">
        <v>0</v>
      </c>
    </row>
    <row r="120" spans="1:18" x14ac:dyDescent="0.5">
      <c r="A120" s="58" t="s">
        <v>14</v>
      </c>
      <c r="B120" s="36"/>
      <c r="C120" s="97"/>
      <c r="D120" s="138"/>
      <c r="E120" s="138"/>
      <c r="F120" s="139"/>
      <c r="G120" s="97"/>
      <c r="H120" s="138"/>
      <c r="I120" s="168"/>
      <c r="J120" s="139"/>
      <c r="K120" s="108"/>
      <c r="L120" s="138"/>
      <c r="M120" s="138"/>
      <c r="N120" s="139"/>
      <c r="O120" s="118"/>
      <c r="P120" s="183"/>
      <c r="Q120" s="181"/>
      <c r="R120" s="182"/>
    </row>
    <row r="121" spans="1:18" x14ac:dyDescent="0.5">
      <c r="A121" s="55" t="s">
        <v>59</v>
      </c>
      <c r="B121" s="33" t="s">
        <v>3</v>
      </c>
      <c r="C121" s="95">
        <v>15653</v>
      </c>
      <c r="D121" s="134">
        <f>ROUND(C121/18,2)</f>
        <v>869.61</v>
      </c>
      <c r="E121" s="134"/>
      <c r="F121" s="135">
        <f>SUM(D121,E122:E123)</f>
        <v>907.95</v>
      </c>
      <c r="G121" s="95">
        <v>9770</v>
      </c>
      <c r="H121" s="134">
        <f>ROUND(G121/18,2)</f>
        <v>542.78</v>
      </c>
      <c r="I121" s="134"/>
      <c r="J121" s="135">
        <f>SUM(H121,I122:I123)</f>
        <v>574.28</v>
      </c>
      <c r="K121" s="106">
        <f>294</f>
        <v>294</v>
      </c>
      <c r="L121" s="134">
        <f>ROUND(K121/18,2)</f>
        <v>16.329999999999998</v>
      </c>
      <c r="M121" s="134"/>
      <c r="N121" s="135">
        <f>SUM(L121,M122:M123)</f>
        <v>16.329999999999998</v>
      </c>
      <c r="O121" s="115">
        <f t="shared" ref="O121:O153" si="3">SUM(C121,G121,K121)</f>
        <v>25717</v>
      </c>
      <c r="P121" s="174">
        <f>ROUND(O121/36,2)</f>
        <v>714.36</v>
      </c>
      <c r="Q121" s="175" t="s">
        <v>44</v>
      </c>
      <c r="R121" s="176">
        <f>SUM(P121,Q122:Q123)</f>
        <v>749.28000000000009</v>
      </c>
    </row>
    <row r="122" spans="1:18" x14ac:dyDescent="0.5">
      <c r="A122" s="56"/>
      <c r="B122" s="33" t="s">
        <v>42</v>
      </c>
      <c r="C122" s="95">
        <v>215</v>
      </c>
      <c r="D122" s="134">
        <f>ROUND(C122/12,2)</f>
        <v>17.920000000000002</v>
      </c>
      <c r="E122" s="134">
        <f>D122*2</f>
        <v>35.840000000000003</v>
      </c>
      <c r="F122" s="135"/>
      <c r="G122" s="95">
        <v>179</v>
      </c>
      <c r="H122" s="134">
        <f>ROUND(G122/12,2)</f>
        <v>14.92</v>
      </c>
      <c r="I122" s="134">
        <f>H122*2</f>
        <v>29.84</v>
      </c>
      <c r="J122" s="135"/>
      <c r="K122" s="106"/>
      <c r="L122" s="134">
        <f>ROUND(K122/12,2)</f>
        <v>0</v>
      </c>
      <c r="M122" s="134">
        <f>L122*2</f>
        <v>0</v>
      </c>
      <c r="N122" s="135"/>
      <c r="O122" s="115">
        <f t="shared" si="3"/>
        <v>394</v>
      </c>
      <c r="P122" s="174">
        <f>ROUND(O122/24,2)</f>
        <v>16.420000000000002</v>
      </c>
      <c r="Q122" s="175">
        <f>P122*2</f>
        <v>32.840000000000003</v>
      </c>
      <c r="R122" s="176">
        <v>0</v>
      </c>
    </row>
    <row r="123" spans="1:18" x14ac:dyDescent="0.5">
      <c r="A123" s="56"/>
      <c r="B123" s="33" t="s">
        <v>43</v>
      </c>
      <c r="C123" s="95">
        <v>15</v>
      </c>
      <c r="D123" s="134">
        <f>ROUND(C123/12,2)</f>
        <v>1.25</v>
      </c>
      <c r="E123" s="134">
        <f>D123*2</f>
        <v>2.5</v>
      </c>
      <c r="F123" s="135"/>
      <c r="G123" s="95">
        <v>10</v>
      </c>
      <c r="H123" s="134">
        <f>ROUND(G123/12,2)</f>
        <v>0.83</v>
      </c>
      <c r="I123" s="134">
        <f>H123*2</f>
        <v>1.66</v>
      </c>
      <c r="J123" s="135"/>
      <c r="K123" s="106"/>
      <c r="L123" s="134">
        <f>ROUND(K123/12,2)</f>
        <v>0</v>
      </c>
      <c r="M123" s="134">
        <f>L123*2</f>
        <v>0</v>
      </c>
      <c r="N123" s="135"/>
      <c r="O123" s="119">
        <f t="shared" si="3"/>
        <v>25</v>
      </c>
      <c r="P123" s="174">
        <f>ROUND(O123/24,2)</f>
        <v>1.04</v>
      </c>
      <c r="Q123" s="175">
        <f>P123*2</f>
        <v>2.08</v>
      </c>
      <c r="R123" s="176">
        <v>0</v>
      </c>
    </row>
    <row r="124" spans="1:18" x14ac:dyDescent="0.5">
      <c r="A124" s="55" t="s">
        <v>60</v>
      </c>
      <c r="B124" s="33" t="s">
        <v>3</v>
      </c>
      <c r="C124" s="95">
        <v>7472</v>
      </c>
      <c r="D124" s="134">
        <f>ROUND(C124/18,2)</f>
        <v>415.11</v>
      </c>
      <c r="E124" s="134"/>
      <c r="F124" s="135">
        <f>SUM(D124,E125:E126)</f>
        <v>456.45</v>
      </c>
      <c r="G124" s="95">
        <v>4016</v>
      </c>
      <c r="H124" s="134">
        <f>ROUND(G124/18,2)</f>
        <v>223.11</v>
      </c>
      <c r="I124" s="134"/>
      <c r="J124" s="135">
        <f>SUM(H124,I125:I126)</f>
        <v>247.27</v>
      </c>
      <c r="K124" s="106">
        <f>201</f>
        <v>201</v>
      </c>
      <c r="L124" s="134">
        <f>ROUND(K124/18,2)</f>
        <v>11.17</v>
      </c>
      <c r="M124" s="134"/>
      <c r="N124" s="135">
        <f>SUM(L124,M125:M126)</f>
        <v>11.17</v>
      </c>
      <c r="O124" s="115">
        <f t="shared" si="3"/>
        <v>11689</v>
      </c>
      <c r="P124" s="174">
        <f>ROUND(O124/36,2)</f>
        <v>324.69</v>
      </c>
      <c r="Q124" s="175" t="s">
        <v>44</v>
      </c>
      <c r="R124" s="176">
        <f>SUM(P124,Q125:Q126)</f>
        <v>357.45</v>
      </c>
    </row>
    <row r="125" spans="1:18" x14ac:dyDescent="0.5">
      <c r="A125" s="56"/>
      <c r="B125" s="33" t="s">
        <v>42</v>
      </c>
      <c r="C125" s="95">
        <v>131</v>
      </c>
      <c r="D125" s="134">
        <f>ROUND(C125/12,2)</f>
        <v>10.92</v>
      </c>
      <c r="E125" s="134">
        <f>D125*2</f>
        <v>21.84</v>
      </c>
      <c r="F125" s="135"/>
      <c r="G125" s="95">
        <v>97</v>
      </c>
      <c r="H125" s="134">
        <f>ROUND(G125/12,2)</f>
        <v>8.08</v>
      </c>
      <c r="I125" s="134">
        <f>H125*2</f>
        <v>16.16</v>
      </c>
      <c r="J125" s="135"/>
      <c r="K125" s="106"/>
      <c r="L125" s="134">
        <f>ROUND(K125/12,2)</f>
        <v>0</v>
      </c>
      <c r="M125" s="134">
        <f>L125*2</f>
        <v>0</v>
      </c>
      <c r="N125" s="135"/>
      <c r="O125" s="115">
        <f t="shared" si="3"/>
        <v>228</v>
      </c>
      <c r="P125" s="174">
        <f>ROUND(O125/24,2)</f>
        <v>9.5</v>
      </c>
      <c r="Q125" s="175">
        <f>P125*2</f>
        <v>19</v>
      </c>
      <c r="R125" s="176">
        <v>0</v>
      </c>
    </row>
    <row r="126" spans="1:18" x14ac:dyDescent="0.5">
      <c r="A126" s="56"/>
      <c r="B126" s="33" t="s">
        <v>43</v>
      </c>
      <c r="C126" s="95">
        <v>117</v>
      </c>
      <c r="D126" s="134">
        <f>ROUND(C126/12,2)</f>
        <v>9.75</v>
      </c>
      <c r="E126" s="134">
        <f>D126*2</f>
        <v>19.5</v>
      </c>
      <c r="F126" s="135"/>
      <c r="G126" s="95">
        <v>48</v>
      </c>
      <c r="H126" s="134">
        <f>ROUND(G126/12,2)</f>
        <v>4</v>
      </c>
      <c r="I126" s="134">
        <f>H126*2</f>
        <v>8</v>
      </c>
      <c r="J126" s="135"/>
      <c r="K126" s="106"/>
      <c r="L126" s="134">
        <f>ROUND(K126/12,2)</f>
        <v>0</v>
      </c>
      <c r="M126" s="134">
        <f>L126*2</f>
        <v>0</v>
      </c>
      <c r="N126" s="135"/>
      <c r="O126" s="119">
        <f t="shared" si="3"/>
        <v>165</v>
      </c>
      <c r="P126" s="174">
        <f>ROUND(O126/24,2)</f>
        <v>6.88</v>
      </c>
      <c r="Q126" s="175">
        <f>P126*2</f>
        <v>13.76</v>
      </c>
      <c r="R126" s="176">
        <v>0</v>
      </c>
    </row>
    <row r="127" spans="1:18" x14ac:dyDescent="0.5">
      <c r="A127" s="55" t="s">
        <v>61</v>
      </c>
      <c r="B127" s="33" t="s">
        <v>3</v>
      </c>
      <c r="C127" s="95">
        <v>1241</v>
      </c>
      <c r="D127" s="134">
        <f>ROUND(C127/18,2)</f>
        <v>68.94</v>
      </c>
      <c r="E127" s="134"/>
      <c r="F127" s="135">
        <f>SUM(D127,E128:E129)</f>
        <v>69.78</v>
      </c>
      <c r="G127" s="95">
        <v>1297</v>
      </c>
      <c r="H127" s="134">
        <f>ROUND(G127/18,2)</f>
        <v>72.06</v>
      </c>
      <c r="I127" s="134"/>
      <c r="J127" s="135">
        <f>SUM(H127,I128:I129)</f>
        <v>73.56</v>
      </c>
      <c r="K127" s="106"/>
      <c r="L127" s="134">
        <f>ROUND(K127/18,2)</f>
        <v>0</v>
      </c>
      <c r="M127" s="134"/>
      <c r="N127" s="135">
        <f>SUM(L127,M128:M129)</f>
        <v>0</v>
      </c>
      <c r="O127" s="115">
        <f t="shared" si="3"/>
        <v>2538</v>
      </c>
      <c r="P127" s="174">
        <f>ROUND(O127/36,2)</f>
        <v>70.5</v>
      </c>
      <c r="Q127" s="175" t="s">
        <v>44</v>
      </c>
      <c r="R127" s="176">
        <f>SUM(P127,Q128:Q129)</f>
        <v>71.680000000000007</v>
      </c>
    </row>
    <row r="128" spans="1:18" x14ac:dyDescent="0.5">
      <c r="A128" s="56"/>
      <c r="B128" s="33" t="s">
        <v>42</v>
      </c>
      <c r="C128" s="95">
        <v>2</v>
      </c>
      <c r="D128" s="134">
        <f>ROUND(C128/12,2)</f>
        <v>0.17</v>
      </c>
      <c r="E128" s="134">
        <f>D128*2</f>
        <v>0.34</v>
      </c>
      <c r="F128" s="135"/>
      <c r="G128" s="95">
        <v>9</v>
      </c>
      <c r="H128" s="134">
        <f>ROUND(G128/12,2)</f>
        <v>0.75</v>
      </c>
      <c r="I128" s="134">
        <f>H128*2</f>
        <v>1.5</v>
      </c>
      <c r="J128" s="135"/>
      <c r="K128" s="106"/>
      <c r="L128" s="134">
        <f>ROUND(K128/12,2)</f>
        <v>0</v>
      </c>
      <c r="M128" s="134">
        <f>L128*2</f>
        <v>0</v>
      </c>
      <c r="N128" s="135"/>
      <c r="O128" s="115">
        <f t="shared" si="3"/>
        <v>11</v>
      </c>
      <c r="P128" s="174">
        <f>ROUND(O128/24,2)</f>
        <v>0.46</v>
      </c>
      <c r="Q128" s="175">
        <f>P128*2</f>
        <v>0.92</v>
      </c>
      <c r="R128" s="176">
        <v>0</v>
      </c>
    </row>
    <row r="129" spans="1:18" x14ac:dyDescent="0.5">
      <c r="A129" s="56"/>
      <c r="B129" s="33" t="s">
        <v>43</v>
      </c>
      <c r="C129" s="95">
        <v>3</v>
      </c>
      <c r="D129" s="134">
        <f>ROUND(C129/12,2)</f>
        <v>0.25</v>
      </c>
      <c r="E129" s="134">
        <f>D129*2</f>
        <v>0.5</v>
      </c>
      <c r="F129" s="135"/>
      <c r="G129" s="95"/>
      <c r="H129" s="134">
        <f>ROUND(G129/12,2)</f>
        <v>0</v>
      </c>
      <c r="I129" s="134">
        <f>H129*2</f>
        <v>0</v>
      </c>
      <c r="J129" s="135"/>
      <c r="K129" s="106"/>
      <c r="L129" s="134">
        <f>ROUND(K129/12,2)</f>
        <v>0</v>
      </c>
      <c r="M129" s="134">
        <f>L129*2</f>
        <v>0</v>
      </c>
      <c r="N129" s="135"/>
      <c r="O129" s="119">
        <f t="shared" si="3"/>
        <v>3</v>
      </c>
      <c r="P129" s="174">
        <f>ROUND(O129/24,2)</f>
        <v>0.13</v>
      </c>
      <c r="Q129" s="175">
        <f>P129*2</f>
        <v>0.26</v>
      </c>
      <c r="R129" s="176">
        <v>0</v>
      </c>
    </row>
    <row r="130" spans="1:18" x14ac:dyDescent="0.5">
      <c r="A130" s="55" t="s">
        <v>62</v>
      </c>
      <c r="B130" s="33" t="s">
        <v>3</v>
      </c>
      <c r="C130" s="95">
        <v>1279</v>
      </c>
      <c r="D130" s="134">
        <f>ROUND(C130/18,2)</f>
        <v>71.06</v>
      </c>
      <c r="E130" s="134"/>
      <c r="F130" s="135">
        <f>SUM(D130,E131:E132)</f>
        <v>81.22</v>
      </c>
      <c r="G130" s="95">
        <v>1551</v>
      </c>
      <c r="H130" s="134">
        <f>ROUND(G130/18,2)</f>
        <v>86.17</v>
      </c>
      <c r="I130" s="134"/>
      <c r="J130" s="135">
        <f>SUM(H130,I131:I132)</f>
        <v>93.51</v>
      </c>
      <c r="K130" s="106"/>
      <c r="L130" s="134">
        <f>ROUND(K130/18,2)</f>
        <v>0</v>
      </c>
      <c r="M130" s="134"/>
      <c r="N130" s="135">
        <f>SUM(L130,M131:M132)</f>
        <v>0</v>
      </c>
      <c r="O130" s="115">
        <f t="shared" si="3"/>
        <v>2830</v>
      </c>
      <c r="P130" s="174">
        <f>ROUND(O130/36,2)</f>
        <v>78.61</v>
      </c>
      <c r="Q130" s="175" t="s">
        <v>44</v>
      </c>
      <c r="R130" s="176">
        <f>SUM(P130,Q131:Q132)</f>
        <v>87.37</v>
      </c>
    </row>
    <row r="131" spans="1:18" x14ac:dyDescent="0.5">
      <c r="A131" s="56"/>
      <c r="B131" s="33" t="s">
        <v>42</v>
      </c>
      <c r="C131" s="95">
        <v>58</v>
      </c>
      <c r="D131" s="134">
        <f>ROUND(C131/12,2)</f>
        <v>4.83</v>
      </c>
      <c r="E131" s="134">
        <f>D131*2</f>
        <v>9.66</v>
      </c>
      <c r="F131" s="135"/>
      <c r="G131" s="95">
        <v>44</v>
      </c>
      <c r="H131" s="134">
        <f>ROUND(G131/12,2)</f>
        <v>3.67</v>
      </c>
      <c r="I131" s="134">
        <f>H131*2</f>
        <v>7.34</v>
      </c>
      <c r="J131" s="135"/>
      <c r="K131" s="106"/>
      <c r="L131" s="134">
        <f>ROUND(K131/12,2)</f>
        <v>0</v>
      </c>
      <c r="M131" s="134">
        <f>L131*2</f>
        <v>0</v>
      </c>
      <c r="N131" s="135"/>
      <c r="O131" s="115">
        <f t="shared" si="3"/>
        <v>102</v>
      </c>
      <c r="P131" s="174">
        <f>ROUND(O131/24,2)</f>
        <v>4.25</v>
      </c>
      <c r="Q131" s="175">
        <f>P131*2</f>
        <v>8.5</v>
      </c>
      <c r="R131" s="176">
        <v>0</v>
      </c>
    </row>
    <row r="132" spans="1:18" x14ac:dyDescent="0.5">
      <c r="A132" s="56"/>
      <c r="B132" s="33" t="s">
        <v>43</v>
      </c>
      <c r="C132" s="95">
        <v>3</v>
      </c>
      <c r="D132" s="134">
        <f>ROUND(C132/12,2)</f>
        <v>0.25</v>
      </c>
      <c r="E132" s="134">
        <f>D132*2</f>
        <v>0.5</v>
      </c>
      <c r="F132" s="135"/>
      <c r="G132" s="95"/>
      <c r="H132" s="134">
        <f>ROUND(G132/12,2)</f>
        <v>0</v>
      </c>
      <c r="I132" s="134">
        <f>H132*2</f>
        <v>0</v>
      </c>
      <c r="J132" s="135"/>
      <c r="K132" s="106"/>
      <c r="L132" s="134">
        <f>ROUND(K132/12,2)</f>
        <v>0</v>
      </c>
      <c r="M132" s="134">
        <f>L132*2</f>
        <v>0</v>
      </c>
      <c r="N132" s="135"/>
      <c r="O132" s="119">
        <f t="shared" si="3"/>
        <v>3</v>
      </c>
      <c r="P132" s="174">
        <f>ROUND(O132/24,2)</f>
        <v>0.13</v>
      </c>
      <c r="Q132" s="175">
        <f>P132*2</f>
        <v>0.26</v>
      </c>
      <c r="R132" s="176">
        <v>0</v>
      </c>
    </row>
    <row r="133" spans="1:18" x14ac:dyDescent="0.5">
      <c r="A133" s="55" t="s">
        <v>63</v>
      </c>
      <c r="B133" s="33" t="s">
        <v>3</v>
      </c>
      <c r="C133" s="95">
        <v>5034</v>
      </c>
      <c r="D133" s="134">
        <f>ROUND(C133/18,2)</f>
        <v>279.67</v>
      </c>
      <c r="E133" s="134"/>
      <c r="F133" s="135">
        <f>SUM(D133,E134:E135)</f>
        <v>281.51</v>
      </c>
      <c r="G133" s="95">
        <v>3024</v>
      </c>
      <c r="H133" s="134">
        <f>ROUND(G133/18,2)</f>
        <v>168</v>
      </c>
      <c r="I133" s="134"/>
      <c r="J133" s="135">
        <f>SUM(H133,I134:I135)</f>
        <v>174</v>
      </c>
      <c r="K133" s="106"/>
      <c r="L133" s="134">
        <f>ROUND(K133/18,2)</f>
        <v>0</v>
      </c>
      <c r="M133" s="134"/>
      <c r="N133" s="135">
        <f>SUM(L133,M134:M135)</f>
        <v>0</v>
      </c>
      <c r="O133" s="115">
        <f t="shared" si="3"/>
        <v>8058</v>
      </c>
      <c r="P133" s="174">
        <f>ROUND(O133/36,2)</f>
        <v>223.83</v>
      </c>
      <c r="Q133" s="175" t="s">
        <v>44</v>
      </c>
      <c r="R133" s="176">
        <f>SUM(P133,Q134:Q135)</f>
        <v>227.75</v>
      </c>
    </row>
    <row r="134" spans="1:18" x14ac:dyDescent="0.5">
      <c r="A134" s="56"/>
      <c r="B134" s="33" t="s">
        <v>42</v>
      </c>
      <c r="C134" s="95">
        <v>11</v>
      </c>
      <c r="D134" s="134">
        <f>ROUND(C134/12,2)</f>
        <v>0.92</v>
      </c>
      <c r="E134" s="134">
        <f>D134*2</f>
        <v>1.84</v>
      </c>
      <c r="F134" s="135"/>
      <c r="G134" s="95">
        <v>33</v>
      </c>
      <c r="H134" s="134">
        <f>ROUND(G134/12,2)</f>
        <v>2.75</v>
      </c>
      <c r="I134" s="134">
        <f>H134*2</f>
        <v>5.5</v>
      </c>
      <c r="J134" s="135"/>
      <c r="K134" s="106"/>
      <c r="L134" s="134">
        <f>ROUND(K134/12,2)</f>
        <v>0</v>
      </c>
      <c r="M134" s="134">
        <f>L134*2</f>
        <v>0</v>
      </c>
      <c r="N134" s="135"/>
      <c r="O134" s="115">
        <f t="shared" si="3"/>
        <v>44</v>
      </c>
      <c r="P134" s="174">
        <f>ROUND(O134/24,2)</f>
        <v>1.83</v>
      </c>
      <c r="Q134" s="175">
        <f>P134*2</f>
        <v>3.66</v>
      </c>
      <c r="R134" s="176">
        <v>0</v>
      </c>
    </row>
    <row r="135" spans="1:18" x14ac:dyDescent="0.5">
      <c r="A135" s="56"/>
      <c r="B135" s="33" t="s">
        <v>43</v>
      </c>
      <c r="C135" s="95"/>
      <c r="D135" s="134">
        <f>ROUND(C135/12,2)</f>
        <v>0</v>
      </c>
      <c r="E135" s="134">
        <f>D135*2</f>
        <v>0</v>
      </c>
      <c r="F135" s="135"/>
      <c r="G135" s="95">
        <v>3</v>
      </c>
      <c r="H135" s="134">
        <f>ROUND(G135/12,2)</f>
        <v>0.25</v>
      </c>
      <c r="I135" s="134">
        <f>H135*2</f>
        <v>0.5</v>
      </c>
      <c r="J135" s="135"/>
      <c r="K135" s="95"/>
      <c r="L135" s="134">
        <f>ROUND(K135/12,2)</f>
        <v>0</v>
      </c>
      <c r="M135" s="134">
        <f>L135*2</f>
        <v>0</v>
      </c>
      <c r="N135" s="135"/>
      <c r="O135" s="119">
        <f t="shared" si="3"/>
        <v>3</v>
      </c>
      <c r="P135" s="174">
        <f>ROUND(O135/24,2)</f>
        <v>0.13</v>
      </c>
      <c r="Q135" s="175">
        <f>P135*2</f>
        <v>0.26</v>
      </c>
      <c r="R135" s="176">
        <v>0</v>
      </c>
    </row>
    <row r="136" spans="1:18" x14ac:dyDescent="0.5">
      <c r="A136" s="55" t="s">
        <v>64</v>
      </c>
      <c r="B136" s="33" t="s">
        <v>3</v>
      </c>
      <c r="C136" s="95">
        <v>622</v>
      </c>
      <c r="D136" s="134">
        <f>ROUND(C136/18,2)</f>
        <v>34.56</v>
      </c>
      <c r="E136" s="134"/>
      <c r="F136" s="135">
        <f>SUM(D136,E137:E138)</f>
        <v>34.900000000000006</v>
      </c>
      <c r="G136" s="95">
        <v>414</v>
      </c>
      <c r="H136" s="134">
        <f>ROUND(G136/18,2)</f>
        <v>23</v>
      </c>
      <c r="I136" s="134"/>
      <c r="J136" s="135">
        <f>SUM(H136,I137:I138)</f>
        <v>23</v>
      </c>
      <c r="K136" s="106">
        <f>42</f>
        <v>42</v>
      </c>
      <c r="L136" s="134">
        <f>ROUND(K136/18,2)</f>
        <v>2.33</v>
      </c>
      <c r="M136" s="134"/>
      <c r="N136" s="135">
        <f>SUM(L136,M137:M138)</f>
        <v>2.33</v>
      </c>
      <c r="O136" s="115">
        <f t="shared" si="3"/>
        <v>1078</v>
      </c>
      <c r="P136" s="174">
        <f>ROUND(O136/36,2)</f>
        <v>29.94</v>
      </c>
      <c r="Q136" s="175" t="s">
        <v>44</v>
      </c>
      <c r="R136" s="176">
        <f>SUM(P136,Q137:Q138)</f>
        <v>30.1</v>
      </c>
    </row>
    <row r="137" spans="1:18" x14ac:dyDescent="0.5">
      <c r="A137" s="56"/>
      <c r="B137" s="33" t="s">
        <v>42</v>
      </c>
      <c r="C137" s="95">
        <v>2</v>
      </c>
      <c r="D137" s="134">
        <f>ROUND(C137/12,2)</f>
        <v>0.17</v>
      </c>
      <c r="E137" s="134">
        <f>D137*2</f>
        <v>0.34</v>
      </c>
      <c r="F137" s="135"/>
      <c r="G137" s="95"/>
      <c r="H137" s="134">
        <f>ROUND(G137/12,2)</f>
        <v>0</v>
      </c>
      <c r="I137" s="134">
        <f>H137*2</f>
        <v>0</v>
      </c>
      <c r="J137" s="135"/>
      <c r="K137" s="106"/>
      <c r="L137" s="134">
        <f>ROUND(K137/12,2)</f>
        <v>0</v>
      </c>
      <c r="M137" s="134">
        <f>L137*2</f>
        <v>0</v>
      </c>
      <c r="N137" s="135"/>
      <c r="O137" s="115">
        <f t="shared" si="3"/>
        <v>2</v>
      </c>
      <c r="P137" s="174">
        <f>ROUND(O137/24,2)</f>
        <v>0.08</v>
      </c>
      <c r="Q137" s="175">
        <f>P137*2</f>
        <v>0.16</v>
      </c>
      <c r="R137" s="176">
        <v>0</v>
      </c>
    </row>
    <row r="138" spans="1:18" x14ac:dyDescent="0.5">
      <c r="A138" s="56"/>
      <c r="B138" s="33" t="s">
        <v>43</v>
      </c>
      <c r="C138" s="95"/>
      <c r="D138" s="134">
        <f>ROUND(C138/12,2)</f>
        <v>0</v>
      </c>
      <c r="E138" s="134">
        <f>D138*2</f>
        <v>0</v>
      </c>
      <c r="F138" s="135"/>
      <c r="G138" s="95"/>
      <c r="H138" s="134">
        <f>ROUND(G138/12,2)</f>
        <v>0</v>
      </c>
      <c r="I138" s="134">
        <f>H138*2</f>
        <v>0</v>
      </c>
      <c r="J138" s="135"/>
      <c r="K138" s="95"/>
      <c r="L138" s="134">
        <f>ROUND(K138/12,2)</f>
        <v>0</v>
      </c>
      <c r="M138" s="134">
        <f>L138*2</f>
        <v>0</v>
      </c>
      <c r="N138" s="135"/>
      <c r="O138" s="119">
        <f t="shared" si="3"/>
        <v>0</v>
      </c>
      <c r="P138" s="174">
        <f>ROUND(O138/24,2)</f>
        <v>0</v>
      </c>
      <c r="Q138" s="175">
        <f>P138*2</f>
        <v>0</v>
      </c>
      <c r="R138" s="176">
        <v>0</v>
      </c>
    </row>
    <row r="139" spans="1:18" x14ac:dyDescent="0.5">
      <c r="A139" s="55" t="s">
        <v>65</v>
      </c>
      <c r="B139" s="33" t="s">
        <v>3</v>
      </c>
      <c r="C139" s="95">
        <v>8866</v>
      </c>
      <c r="D139" s="134">
        <f>ROUND(C139/18,2)</f>
        <v>492.56</v>
      </c>
      <c r="E139" s="134"/>
      <c r="F139" s="135">
        <f>SUM(D139,E140:E141)</f>
        <v>513.72</v>
      </c>
      <c r="G139" s="95">
        <v>7086</v>
      </c>
      <c r="H139" s="134">
        <f>ROUND(G139/18,2)</f>
        <v>393.67</v>
      </c>
      <c r="I139" s="134"/>
      <c r="J139" s="135">
        <f>SUM(H139,I140:I141)</f>
        <v>412.83000000000004</v>
      </c>
      <c r="K139" s="106">
        <f>258</f>
        <v>258</v>
      </c>
      <c r="L139" s="134">
        <f>ROUND(K139/18,2)</f>
        <v>14.33</v>
      </c>
      <c r="M139" s="134"/>
      <c r="N139" s="135">
        <f>SUM(L139,M140:M141)</f>
        <v>14.33</v>
      </c>
      <c r="O139" s="115">
        <f t="shared" si="3"/>
        <v>16210</v>
      </c>
      <c r="P139" s="174">
        <f>ROUND(O139/36,2)</f>
        <v>450.28</v>
      </c>
      <c r="Q139" s="175" t="s">
        <v>44</v>
      </c>
      <c r="R139" s="176">
        <f>SUM(P139,Q140:Q141)</f>
        <v>470.43999999999994</v>
      </c>
    </row>
    <row r="140" spans="1:18" x14ac:dyDescent="0.5">
      <c r="A140" s="56"/>
      <c r="B140" s="33" t="s">
        <v>42</v>
      </c>
      <c r="C140" s="95">
        <v>78</v>
      </c>
      <c r="D140" s="134">
        <f>ROUND(C140/12,2)</f>
        <v>6.5</v>
      </c>
      <c r="E140" s="134">
        <f>D140*2</f>
        <v>13</v>
      </c>
      <c r="F140" s="135"/>
      <c r="G140" s="95">
        <v>37</v>
      </c>
      <c r="H140" s="134">
        <f>ROUND(G140/12,2)</f>
        <v>3.08</v>
      </c>
      <c r="I140" s="134">
        <f>H140*2</f>
        <v>6.16</v>
      </c>
      <c r="J140" s="135"/>
      <c r="K140" s="106"/>
      <c r="L140" s="134">
        <f>ROUND(K140/12,2)</f>
        <v>0</v>
      </c>
      <c r="M140" s="134">
        <f>L140*2</f>
        <v>0</v>
      </c>
      <c r="N140" s="135"/>
      <c r="O140" s="115">
        <f t="shared" si="3"/>
        <v>115</v>
      </c>
      <c r="P140" s="174">
        <f>ROUND(O140/24,2)</f>
        <v>4.79</v>
      </c>
      <c r="Q140" s="175">
        <f>P140*2</f>
        <v>9.58</v>
      </c>
      <c r="R140" s="176">
        <v>0</v>
      </c>
    </row>
    <row r="141" spans="1:18" x14ac:dyDescent="0.5">
      <c r="A141" s="56"/>
      <c r="B141" s="33" t="s">
        <v>43</v>
      </c>
      <c r="C141" s="95">
        <v>49</v>
      </c>
      <c r="D141" s="134">
        <f>ROUND(C141/12,2)</f>
        <v>4.08</v>
      </c>
      <c r="E141" s="134">
        <f>D141*2</f>
        <v>8.16</v>
      </c>
      <c r="F141" s="135"/>
      <c r="G141" s="95">
        <v>78</v>
      </c>
      <c r="H141" s="134">
        <f>ROUND(G141/12,2)</f>
        <v>6.5</v>
      </c>
      <c r="I141" s="134">
        <f>H141*2</f>
        <v>13</v>
      </c>
      <c r="J141" s="135"/>
      <c r="K141" s="95"/>
      <c r="L141" s="134">
        <f>ROUND(K141/12,2)</f>
        <v>0</v>
      </c>
      <c r="M141" s="134">
        <f>L141*2</f>
        <v>0</v>
      </c>
      <c r="N141" s="135"/>
      <c r="O141" s="119">
        <f t="shared" si="3"/>
        <v>127</v>
      </c>
      <c r="P141" s="174">
        <f>ROUND(O141/24,2)</f>
        <v>5.29</v>
      </c>
      <c r="Q141" s="175">
        <f>P141*2</f>
        <v>10.58</v>
      </c>
      <c r="R141" s="176">
        <v>0</v>
      </c>
    </row>
    <row r="142" spans="1:18" x14ac:dyDescent="0.5">
      <c r="A142" s="55" t="s">
        <v>66</v>
      </c>
      <c r="B142" s="33" t="s">
        <v>3</v>
      </c>
      <c r="C142" s="95">
        <v>6153</v>
      </c>
      <c r="D142" s="134">
        <f>ROUND(C142/18,2)</f>
        <v>341.83</v>
      </c>
      <c r="E142" s="134"/>
      <c r="F142" s="135">
        <f>SUM(D142,E143:E144)</f>
        <v>369.66999999999996</v>
      </c>
      <c r="G142" s="95">
        <v>2886</v>
      </c>
      <c r="H142" s="134">
        <f>ROUND(G142/18,2)</f>
        <v>160.33000000000001</v>
      </c>
      <c r="I142" s="134"/>
      <c r="J142" s="135">
        <f>SUM(H142,I143:I144)</f>
        <v>186.83</v>
      </c>
      <c r="K142" s="106"/>
      <c r="L142" s="134">
        <f>ROUND(K142/18,2)</f>
        <v>0</v>
      </c>
      <c r="M142" s="134"/>
      <c r="N142" s="135">
        <f>SUM(L142,M143:M144)</f>
        <v>0</v>
      </c>
      <c r="O142" s="115">
        <f t="shared" si="3"/>
        <v>9039</v>
      </c>
      <c r="P142" s="174">
        <f>ROUND(O142/36,2)</f>
        <v>251.08</v>
      </c>
      <c r="Q142" s="175" t="s">
        <v>44</v>
      </c>
      <c r="R142" s="176">
        <f>SUM(P142,Q143:Q144)</f>
        <v>278.24</v>
      </c>
    </row>
    <row r="143" spans="1:18" x14ac:dyDescent="0.5">
      <c r="A143" s="56"/>
      <c r="B143" s="33" t="s">
        <v>42</v>
      </c>
      <c r="C143" s="95">
        <v>167</v>
      </c>
      <c r="D143" s="134">
        <f>ROUND(C143/12,2)</f>
        <v>13.92</v>
      </c>
      <c r="E143" s="134">
        <f>D143*2</f>
        <v>27.84</v>
      </c>
      <c r="F143" s="135"/>
      <c r="G143" s="95">
        <v>159</v>
      </c>
      <c r="H143" s="134">
        <f>ROUND(G143/12,2)</f>
        <v>13.25</v>
      </c>
      <c r="I143" s="134">
        <f>H143*2</f>
        <v>26.5</v>
      </c>
      <c r="J143" s="135"/>
      <c r="K143" s="106"/>
      <c r="L143" s="134">
        <f>ROUND(K143/12,2)</f>
        <v>0</v>
      </c>
      <c r="M143" s="134">
        <f>L143*2</f>
        <v>0</v>
      </c>
      <c r="N143" s="135"/>
      <c r="O143" s="115">
        <f t="shared" si="3"/>
        <v>326</v>
      </c>
      <c r="P143" s="174">
        <f>ROUND(O143/24,2)</f>
        <v>13.58</v>
      </c>
      <c r="Q143" s="175">
        <f>P143*2</f>
        <v>27.16</v>
      </c>
      <c r="R143" s="176">
        <v>0</v>
      </c>
    </row>
    <row r="144" spans="1:18" x14ac:dyDescent="0.5">
      <c r="A144" s="56"/>
      <c r="B144" s="33" t="s">
        <v>43</v>
      </c>
      <c r="C144" s="95"/>
      <c r="D144" s="134">
        <f>ROUND(C144/12,2)</f>
        <v>0</v>
      </c>
      <c r="E144" s="134">
        <f>D144*2</f>
        <v>0</v>
      </c>
      <c r="F144" s="135"/>
      <c r="G144" s="95"/>
      <c r="H144" s="134">
        <f>ROUND(G144/12,2)</f>
        <v>0</v>
      </c>
      <c r="I144" s="134">
        <f>H144*2</f>
        <v>0</v>
      </c>
      <c r="J144" s="135"/>
      <c r="K144" s="106"/>
      <c r="L144" s="134">
        <f>ROUND(K144/12,2)</f>
        <v>0</v>
      </c>
      <c r="M144" s="134">
        <f>L144*2</f>
        <v>0</v>
      </c>
      <c r="N144" s="135"/>
      <c r="O144" s="119">
        <f t="shared" si="3"/>
        <v>0</v>
      </c>
      <c r="P144" s="174">
        <f>ROUND(O144/24,2)</f>
        <v>0</v>
      </c>
      <c r="Q144" s="175">
        <f>P144*2</f>
        <v>0</v>
      </c>
      <c r="R144" s="176">
        <v>0</v>
      </c>
    </row>
    <row r="145" spans="1:18" x14ac:dyDescent="0.5">
      <c r="A145" s="55" t="s">
        <v>67</v>
      </c>
      <c r="B145" s="33" t="s">
        <v>3</v>
      </c>
      <c r="C145" s="95">
        <f>48+807</f>
        <v>855</v>
      </c>
      <c r="D145" s="134">
        <f>ROUND(C145/18,2)</f>
        <v>47.5</v>
      </c>
      <c r="E145" s="134"/>
      <c r="F145" s="135">
        <f>SUM(D145,E146:E147)</f>
        <v>104.5</v>
      </c>
      <c r="G145" s="95">
        <v>2</v>
      </c>
      <c r="H145" s="134">
        <f>ROUND(G145/18,2)</f>
        <v>0.11</v>
      </c>
      <c r="I145" s="134"/>
      <c r="J145" s="135">
        <f>SUM(H145,I146:I147)</f>
        <v>40.43</v>
      </c>
      <c r="K145" s="106"/>
      <c r="L145" s="134">
        <f>ROUND(K145/18,2)</f>
        <v>0</v>
      </c>
      <c r="M145" s="134"/>
      <c r="N145" s="135">
        <f>SUM(L145,M146:M147)</f>
        <v>0</v>
      </c>
      <c r="O145" s="115">
        <f t="shared" si="3"/>
        <v>857</v>
      </c>
      <c r="P145" s="174">
        <f>ROUND(O145/36,2)</f>
        <v>23.81</v>
      </c>
      <c r="Q145" s="175" t="s">
        <v>44</v>
      </c>
      <c r="R145" s="176">
        <f>SUM(P145,Q146:Q147)</f>
        <v>72.47</v>
      </c>
    </row>
    <row r="146" spans="1:18" x14ac:dyDescent="0.5">
      <c r="A146" s="56"/>
      <c r="B146" s="33" t="s">
        <v>42</v>
      </c>
      <c r="C146" s="95">
        <f>148+33+33</f>
        <v>214</v>
      </c>
      <c r="D146" s="134">
        <f>ROUND(C146/12,2)</f>
        <v>17.829999999999998</v>
      </c>
      <c r="E146" s="134">
        <f>D146*2</f>
        <v>35.659999999999997</v>
      </c>
      <c r="F146" s="135"/>
      <c r="G146" s="95">
        <f>115+30+9</f>
        <v>154</v>
      </c>
      <c r="H146" s="134">
        <f>ROUND(G146/12,2)</f>
        <v>12.83</v>
      </c>
      <c r="I146" s="134">
        <f>H146*2</f>
        <v>25.66</v>
      </c>
      <c r="J146" s="135"/>
      <c r="K146" s="106"/>
      <c r="L146" s="134">
        <f>ROUND(K146/12,2)</f>
        <v>0</v>
      </c>
      <c r="M146" s="134">
        <f>L146*2</f>
        <v>0</v>
      </c>
      <c r="N146" s="135"/>
      <c r="O146" s="115">
        <f t="shared" si="3"/>
        <v>368</v>
      </c>
      <c r="P146" s="174">
        <f>ROUND(O146/24,2)</f>
        <v>15.33</v>
      </c>
      <c r="Q146" s="175">
        <f>P146*2</f>
        <v>30.66</v>
      </c>
      <c r="R146" s="176">
        <v>0</v>
      </c>
    </row>
    <row r="147" spans="1:18" x14ac:dyDescent="0.5">
      <c r="A147" s="56"/>
      <c r="B147" s="33" t="s">
        <v>43</v>
      </c>
      <c r="C147" s="95">
        <f>33+24+71</f>
        <v>128</v>
      </c>
      <c r="D147" s="134">
        <f>ROUND(C147/12,2)</f>
        <v>10.67</v>
      </c>
      <c r="E147" s="134">
        <f>D147*2</f>
        <v>21.34</v>
      </c>
      <c r="F147" s="135"/>
      <c r="G147" s="95">
        <f>20+33+35</f>
        <v>88</v>
      </c>
      <c r="H147" s="134">
        <f>ROUND(G147/12,2)</f>
        <v>7.33</v>
      </c>
      <c r="I147" s="134">
        <f>H147*2</f>
        <v>14.66</v>
      </c>
      <c r="J147" s="135"/>
      <c r="K147" s="106"/>
      <c r="L147" s="134">
        <f>ROUND(K147/12,2)</f>
        <v>0</v>
      </c>
      <c r="M147" s="134">
        <f>L147*2</f>
        <v>0</v>
      </c>
      <c r="N147" s="135"/>
      <c r="O147" s="119">
        <f t="shared" si="3"/>
        <v>216</v>
      </c>
      <c r="P147" s="174">
        <f>ROUND(O147/24,2)</f>
        <v>9</v>
      </c>
      <c r="Q147" s="175">
        <f>P147*2</f>
        <v>18</v>
      </c>
      <c r="R147" s="176">
        <v>0</v>
      </c>
    </row>
    <row r="148" spans="1:18" x14ac:dyDescent="0.5">
      <c r="A148" s="55" t="s">
        <v>68</v>
      </c>
      <c r="B148" s="33" t="s">
        <v>3</v>
      </c>
      <c r="C148" s="95">
        <v>1222</v>
      </c>
      <c r="D148" s="134">
        <f>ROUND(C148/18,2)</f>
        <v>67.89</v>
      </c>
      <c r="E148" s="134"/>
      <c r="F148" s="135">
        <f>SUM(D148,E149:E150)</f>
        <v>78.55</v>
      </c>
      <c r="G148" s="95">
        <v>1227</v>
      </c>
      <c r="H148" s="134">
        <f>ROUND(G148/18,2)</f>
        <v>68.17</v>
      </c>
      <c r="I148" s="134"/>
      <c r="J148" s="135">
        <f>SUM(H148,I149:I150)</f>
        <v>76.17</v>
      </c>
      <c r="K148" s="106"/>
      <c r="L148" s="134">
        <f>ROUND(K148/18,2)</f>
        <v>0</v>
      </c>
      <c r="M148" s="134"/>
      <c r="N148" s="135">
        <f>SUM(L148,M149:M150)</f>
        <v>0</v>
      </c>
      <c r="O148" s="115">
        <f t="shared" si="3"/>
        <v>2449</v>
      </c>
      <c r="P148" s="174">
        <f>ROUND(O148/36,2)</f>
        <v>68.03</v>
      </c>
      <c r="Q148" s="175" t="s">
        <v>44</v>
      </c>
      <c r="R148" s="176">
        <f>SUM(P148,Q149:Q150)</f>
        <v>77.37</v>
      </c>
    </row>
    <row r="149" spans="1:18" x14ac:dyDescent="0.5">
      <c r="A149" s="56"/>
      <c r="B149" s="33" t="s">
        <v>42</v>
      </c>
      <c r="C149" s="95">
        <v>64</v>
      </c>
      <c r="D149" s="134">
        <f>ROUND(C149/12,2)</f>
        <v>5.33</v>
      </c>
      <c r="E149" s="134">
        <f>D149*2</f>
        <v>10.66</v>
      </c>
      <c r="F149" s="135"/>
      <c r="G149" s="95">
        <v>48</v>
      </c>
      <c r="H149" s="134">
        <f>ROUND(G149/12,2)</f>
        <v>4</v>
      </c>
      <c r="I149" s="134">
        <f>H149*2</f>
        <v>8</v>
      </c>
      <c r="J149" s="135"/>
      <c r="K149" s="106"/>
      <c r="L149" s="134">
        <f>ROUND(K149/12,2)</f>
        <v>0</v>
      </c>
      <c r="M149" s="134">
        <f>L149*2</f>
        <v>0</v>
      </c>
      <c r="N149" s="135"/>
      <c r="O149" s="115">
        <f t="shared" si="3"/>
        <v>112</v>
      </c>
      <c r="P149" s="174">
        <f>ROUND(O149/24,2)</f>
        <v>4.67</v>
      </c>
      <c r="Q149" s="175">
        <f>P149*2</f>
        <v>9.34</v>
      </c>
      <c r="R149" s="176">
        <v>0</v>
      </c>
    </row>
    <row r="150" spans="1:18" x14ac:dyDescent="0.5">
      <c r="A150" s="56"/>
      <c r="B150" s="33" t="s">
        <v>43</v>
      </c>
      <c r="C150" s="95"/>
      <c r="D150" s="134">
        <f>ROUND(C150/12,2)</f>
        <v>0</v>
      </c>
      <c r="E150" s="134">
        <f>D150*2</f>
        <v>0</v>
      </c>
      <c r="F150" s="135"/>
      <c r="G150" s="95"/>
      <c r="H150" s="134">
        <f>ROUND(G150/12,2)</f>
        <v>0</v>
      </c>
      <c r="I150" s="134">
        <f>H150*2</f>
        <v>0</v>
      </c>
      <c r="J150" s="135"/>
      <c r="K150" s="95"/>
      <c r="L150" s="134">
        <f>ROUND(K150/12,2)</f>
        <v>0</v>
      </c>
      <c r="M150" s="134">
        <f>L150*2</f>
        <v>0</v>
      </c>
      <c r="N150" s="135"/>
      <c r="O150" s="119">
        <f t="shared" si="3"/>
        <v>0</v>
      </c>
      <c r="P150" s="174">
        <f>ROUND(O150/24,2)</f>
        <v>0</v>
      </c>
      <c r="Q150" s="175">
        <f>P150*2</f>
        <v>0</v>
      </c>
      <c r="R150" s="176">
        <v>0</v>
      </c>
    </row>
    <row r="151" spans="1:18" x14ac:dyDescent="0.5">
      <c r="A151" s="63" t="s">
        <v>56</v>
      </c>
      <c r="B151" s="38" t="s">
        <v>3</v>
      </c>
      <c r="C151" s="78">
        <f>SUM(C121,C124,C127,C130,C133,C136,C139,C142,C145,C148)</f>
        <v>48397</v>
      </c>
      <c r="D151" s="144">
        <f>ROUND(C151/18,2)</f>
        <v>2688.72</v>
      </c>
      <c r="E151" s="140"/>
      <c r="F151" s="145">
        <f>SUM(D151,E152:E153)</f>
        <v>2898.22</v>
      </c>
      <c r="G151" s="78">
        <f>SUM(G121,G124,G127,G130,G133,G136,G139,G142,G145,G148)</f>
        <v>31273</v>
      </c>
      <c r="H151" s="144">
        <f>ROUND(G151/18,2)</f>
        <v>1737.39</v>
      </c>
      <c r="I151" s="140"/>
      <c r="J151" s="145">
        <f>SUM(H151,I152:I153)</f>
        <v>1901.89</v>
      </c>
      <c r="K151" s="78">
        <f>SUM(K121,K124,K127,K130,K133,K136,K139,K142,K145,K148)</f>
        <v>795</v>
      </c>
      <c r="L151" s="144">
        <f>ROUND(K151/18,2)</f>
        <v>44.17</v>
      </c>
      <c r="M151" s="140"/>
      <c r="N151" s="145">
        <f>SUM(L151,M152:M153)</f>
        <v>44.17</v>
      </c>
      <c r="O151" s="120">
        <f t="shared" si="3"/>
        <v>80465</v>
      </c>
      <c r="P151" s="184">
        <f>ROUND(O151/36,2)</f>
        <v>2235.14</v>
      </c>
      <c r="Q151" s="185" t="s">
        <v>44</v>
      </c>
      <c r="R151" s="176">
        <f>SUM(P151,Q152:Q153)</f>
        <v>2422.14</v>
      </c>
    </row>
    <row r="152" spans="1:18" x14ac:dyDescent="0.5">
      <c r="A152" s="68">
        <f>SUM(G151:G153)</f>
        <v>32260</v>
      </c>
      <c r="B152" s="38" t="s">
        <v>42</v>
      </c>
      <c r="C152" s="78">
        <f>SUM(C122,C125,C128,C131,C134,C137,C140,C143,C146,C149)</f>
        <v>942</v>
      </c>
      <c r="D152" s="140">
        <f>ROUND(C152/12,2)</f>
        <v>78.5</v>
      </c>
      <c r="E152" s="140">
        <f>D152*2</f>
        <v>157</v>
      </c>
      <c r="F152" s="141"/>
      <c r="G152" s="78">
        <f>SUM(G122,G125,G128,G131,G134,G137,G140,G143,G146,G149)</f>
        <v>760</v>
      </c>
      <c r="H152" s="140">
        <f>ROUND(G152/12,2)</f>
        <v>63.33</v>
      </c>
      <c r="I152" s="140">
        <f>H152*2</f>
        <v>126.66</v>
      </c>
      <c r="J152" s="141"/>
      <c r="K152" s="78">
        <f>SUM(K122,K125,K128,K131,K134,K137,K140,K143,K146,K149)</f>
        <v>0</v>
      </c>
      <c r="L152" s="140">
        <f>ROUND(K152/12,2)</f>
        <v>0</v>
      </c>
      <c r="M152" s="140">
        <f>L152*2</f>
        <v>0</v>
      </c>
      <c r="N152" s="141"/>
      <c r="O152" s="120">
        <f t="shared" si="3"/>
        <v>1702</v>
      </c>
      <c r="P152" s="184">
        <f>ROUND(O152/24,2)</f>
        <v>70.92</v>
      </c>
      <c r="Q152" s="185">
        <f>P152*2</f>
        <v>141.84</v>
      </c>
      <c r="R152" s="176">
        <v>0</v>
      </c>
    </row>
    <row r="153" spans="1:18" ht="22.5" thickBot="1" x14ac:dyDescent="0.55000000000000004">
      <c r="A153" s="57"/>
      <c r="B153" s="39" t="s">
        <v>43</v>
      </c>
      <c r="C153" s="79">
        <f>SUM(C123,C126,C129,C132,C135,C138,C141,C144,C147,C150)</f>
        <v>315</v>
      </c>
      <c r="D153" s="142">
        <f>ROUND(C153/12,2)</f>
        <v>26.25</v>
      </c>
      <c r="E153" s="142">
        <f>D153*2</f>
        <v>52.5</v>
      </c>
      <c r="F153" s="143"/>
      <c r="G153" s="79">
        <f>SUM(G123,G126,G129,G132,G135,G138,G141,G144,G147,G150)</f>
        <v>227</v>
      </c>
      <c r="H153" s="142">
        <f>ROUND(G153/12,2)</f>
        <v>18.920000000000002</v>
      </c>
      <c r="I153" s="142">
        <f>H153*2</f>
        <v>37.840000000000003</v>
      </c>
      <c r="J153" s="143"/>
      <c r="K153" s="79">
        <f>SUM(K123,K126,K129,K132,K135,K138,K141,K144,K147,K150)</f>
        <v>0</v>
      </c>
      <c r="L153" s="142">
        <f>ROUND(K153/12,2)</f>
        <v>0</v>
      </c>
      <c r="M153" s="142">
        <f>L153*2</f>
        <v>0</v>
      </c>
      <c r="N153" s="143"/>
      <c r="O153" s="121">
        <f t="shared" si="3"/>
        <v>542</v>
      </c>
      <c r="P153" s="186">
        <f>ROUND(O153/24,2)</f>
        <v>22.58</v>
      </c>
      <c r="Q153" s="187">
        <f>P153*2</f>
        <v>45.16</v>
      </c>
      <c r="R153" s="179">
        <v>0</v>
      </c>
    </row>
    <row r="154" spans="1:18" x14ac:dyDescent="0.5">
      <c r="A154" s="58" t="s">
        <v>15</v>
      </c>
      <c r="B154" s="40"/>
      <c r="C154" s="97"/>
      <c r="D154" s="138"/>
      <c r="E154" s="138"/>
      <c r="F154" s="139"/>
      <c r="G154" s="97"/>
      <c r="H154" s="138"/>
      <c r="I154" s="168"/>
      <c r="J154" s="139"/>
      <c r="K154" s="111"/>
      <c r="L154" s="138"/>
      <c r="M154" s="168"/>
      <c r="N154" s="139"/>
      <c r="O154" s="124"/>
      <c r="P154" s="183"/>
      <c r="Q154" s="183"/>
      <c r="R154" s="182"/>
    </row>
    <row r="155" spans="1:18" x14ac:dyDescent="0.5">
      <c r="A155" s="55" t="s">
        <v>41</v>
      </c>
      <c r="B155" s="33" t="s">
        <v>3</v>
      </c>
      <c r="C155" s="95">
        <v>16748</v>
      </c>
      <c r="D155" s="134">
        <f>ROUND(C155/18,2)</f>
        <v>930.44</v>
      </c>
      <c r="E155" s="134"/>
      <c r="F155" s="135">
        <f>SUM(D155,E156:E157)</f>
        <v>955.19</v>
      </c>
      <c r="G155" s="95">
        <f>171+14721</f>
        <v>14892</v>
      </c>
      <c r="H155" s="134">
        <f>ROUND(G155/18,2)</f>
        <v>827.33</v>
      </c>
      <c r="I155" s="134"/>
      <c r="J155" s="135">
        <f>SUM(H155,I156:I157)</f>
        <v>851.75</v>
      </c>
      <c r="K155" s="95">
        <f>787</f>
        <v>787</v>
      </c>
      <c r="L155" s="134">
        <f>ROUND(K155/18,2)</f>
        <v>43.72</v>
      </c>
      <c r="M155" s="134"/>
      <c r="N155" s="135">
        <f>SUM(L155,M156:M157)</f>
        <v>43.72</v>
      </c>
      <c r="O155" s="115">
        <f>SUM(C155,G155,K155)</f>
        <v>32427</v>
      </c>
      <c r="P155" s="174">
        <f>ROUND(O155/36,2)</f>
        <v>900.75</v>
      </c>
      <c r="Q155" s="175" t="s">
        <v>44</v>
      </c>
      <c r="R155" s="176">
        <f>SUM(P155,Q156:Q157)</f>
        <v>925.33</v>
      </c>
    </row>
    <row r="156" spans="1:18" x14ac:dyDescent="0.5">
      <c r="A156" s="68"/>
      <c r="B156" s="33" t="s">
        <v>42</v>
      </c>
      <c r="C156" s="95">
        <f>26+104</f>
        <v>130</v>
      </c>
      <c r="D156" s="134">
        <f>ROUND(C156/12,2)</f>
        <v>10.83</v>
      </c>
      <c r="E156" s="134">
        <f>D156*1</f>
        <v>10.83</v>
      </c>
      <c r="F156" s="135"/>
      <c r="G156" s="95">
        <f>4+148</f>
        <v>152</v>
      </c>
      <c r="H156" s="134">
        <f>ROUND(G156/12,2)</f>
        <v>12.67</v>
      </c>
      <c r="I156" s="169">
        <f t="shared" ref="I156:I157" si="4">H156*1</f>
        <v>12.67</v>
      </c>
      <c r="J156" s="135"/>
      <c r="K156" s="106"/>
      <c r="L156" s="134">
        <f>ROUND(K156/12,2)</f>
        <v>0</v>
      </c>
      <c r="M156" s="169">
        <f>L156*1</f>
        <v>0</v>
      </c>
      <c r="N156" s="135"/>
      <c r="O156" s="115">
        <f>SUM(C156,G156,K156)</f>
        <v>282</v>
      </c>
      <c r="P156" s="174">
        <f>ROUND(O156/24,2)</f>
        <v>11.75</v>
      </c>
      <c r="Q156" s="175">
        <f t="shared" ref="Q156:Q157" si="5">P156*1</f>
        <v>11.75</v>
      </c>
      <c r="R156" s="176">
        <v>0</v>
      </c>
    </row>
    <row r="157" spans="1:18" ht="22.5" thickBot="1" x14ac:dyDescent="0.55000000000000004">
      <c r="A157" s="57"/>
      <c r="B157" s="34" t="s">
        <v>43</v>
      </c>
      <c r="C157" s="96">
        <v>167</v>
      </c>
      <c r="D157" s="136">
        <f>ROUND(C157/12,2)</f>
        <v>13.92</v>
      </c>
      <c r="E157" s="136">
        <f>D157*1</f>
        <v>13.92</v>
      </c>
      <c r="F157" s="137"/>
      <c r="G157" s="96">
        <v>141</v>
      </c>
      <c r="H157" s="136">
        <f>ROUND(G157/12,2)</f>
        <v>11.75</v>
      </c>
      <c r="I157" s="170">
        <f t="shared" si="4"/>
        <v>11.75</v>
      </c>
      <c r="J157" s="137"/>
      <c r="K157" s="109"/>
      <c r="L157" s="136">
        <f>ROUND(K157/12,2)</f>
        <v>0</v>
      </c>
      <c r="M157" s="170">
        <f>L157*1</f>
        <v>0</v>
      </c>
      <c r="N157" s="137"/>
      <c r="O157" s="116">
        <f>SUM(C157,G157,K157)</f>
        <v>308</v>
      </c>
      <c r="P157" s="177">
        <f>ROUND(O157/24,2)</f>
        <v>12.83</v>
      </c>
      <c r="Q157" s="178">
        <f t="shared" si="5"/>
        <v>12.83</v>
      </c>
      <c r="R157" s="179">
        <v>0</v>
      </c>
    </row>
    <row r="158" spans="1:18" x14ac:dyDescent="0.5">
      <c r="A158" s="58" t="s">
        <v>16</v>
      </c>
      <c r="B158" s="36"/>
      <c r="C158" s="97"/>
      <c r="D158" s="138"/>
      <c r="E158" s="138"/>
      <c r="F158" s="139"/>
      <c r="G158" s="97"/>
      <c r="H158" s="138"/>
      <c r="I158" s="168"/>
      <c r="J158" s="139"/>
      <c r="K158" s="108"/>
      <c r="L158" s="138"/>
      <c r="M158" s="138"/>
      <c r="N158" s="139"/>
      <c r="O158" s="118"/>
      <c r="P158" s="183"/>
      <c r="Q158" s="181"/>
      <c r="R158" s="182"/>
    </row>
    <row r="159" spans="1:18" x14ac:dyDescent="0.5">
      <c r="A159" s="55" t="s">
        <v>69</v>
      </c>
      <c r="B159" s="33" t="s">
        <v>3</v>
      </c>
      <c r="C159" s="95">
        <f>805</f>
        <v>805</v>
      </c>
      <c r="D159" s="134">
        <f>ROUND(C159/18,2)</f>
        <v>44.72</v>
      </c>
      <c r="E159" s="134"/>
      <c r="F159" s="135">
        <f>SUM(D159,E160:E161)</f>
        <v>56.879999999999995</v>
      </c>
      <c r="G159" s="95">
        <f>451+78+1002</f>
        <v>1531</v>
      </c>
      <c r="H159" s="134">
        <f>ROUND(G159/18,2)</f>
        <v>85.06</v>
      </c>
      <c r="I159" s="134"/>
      <c r="J159" s="135">
        <f>SUM(H159,I160:I161)</f>
        <v>103.06</v>
      </c>
      <c r="K159" s="106">
        <f>64</f>
        <v>64</v>
      </c>
      <c r="L159" s="134">
        <f>ROUND(K159/18,2)</f>
        <v>3.56</v>
      </c>
      <c r="M159" s="134"/>
      <c r="N159" s="135">
        <f>SUM(L159,M160:M161)</f>
        <v>3.56</v>
      </c>
      <c r="O159" s="115">
        <f t="shared" ref="O159:O179" si="6">SUM(C159,G159,K159)</f>
        <v>2400</v>
      </c>
      <c r="P159" s="174">
        <f>ROUND(O159/36,2)</f>
        <v>66.67</v>
      </c>
      <c r="Q159" s="175" t="s">
        <v>44</v>
      </c>
      <c r="R159" s="176">
        <f>SUM(P159,Q160:Q161)</f>
        <v>81.75</v>
      </c>
    </row>
    <row r="160" spans="1:18" x14ac:dyDescent="0.5">
      <c r="A160" s="56"/>
      <c r="B160" s="33" t="s">
        <v>42</v>
      </c>
      <c r="C160" s="95">
        <v>73</v>
      </c>
      <c r="D160" s="134">
        <f>ROUND(C160/12,2)</f>
        <v>6.08</v>
      </c>
      <c r="E160" s="134">
        <f>D160*2</f>
        <v>12.16</v>
      </c>
      <c r="F160" s="135"/>
      <c r="G160" s="95">
        <v>102</v>
      </c>
      <c r="H160" s="134">
        <f>ROUND(G160/12,2)</f>
        <v>8.5</v>
      </c>
      <c r="I160" s="134">
        <f>H160*2</f>
        <v>17</v>
      </c>
      <c r="J160" s="135"/>
      <c r="K160" s="95"/>
      <c r="L160" s="134">
        <f>ROUND(K160/12,2)</f>
        <v>0</v>
      </c>
      <c r="M160" s="134">
        <f>L160*2</f>
        <v>0</v>
      </c>
      <c r="N160" s="135"/>
      <c r="O160" s="115">
        <f t="shared" si="6"/>
        <v>175</v>
      </c>
      <c r="P160" s="174">
        <f>ROUND(O160/24,2)</f>
        <v>7.29</v>
      </c>
      <c r="Q160" s="175">
        <f>P160*2</f>
        <v>14.58</v>
      </c>
      <c r="R160" s="176">
        <v>0</v>
      </c>
    </row>
    <row r="161" spans="1:18" x14ac:dyDescent="0.5">
      <c r="A161" s="56"/>
      <c r="B161" s="33" t="s">
        <v>43</v>
      </c>
      <c r="C161" s="95"/>
      <c r="D161" s="134">
        <f>ROUND(C161/12,2)</f>
        <v>0</v>
      </c>
      <c r="E161" s="134">
        <f>D161*2</f>
        <v>0</v>
      </c>
      <c r="F161" s="135"/>
      <c r="G161" s="95">
        <v>6</v>
      </c>
      <c r="H161" s="134">
        <f>ROUND(G161/12,2)</f>
        <v>0.5</v>
      </c>
      <c r="I161" s="134">
        <f>H161*2</f>
        <v>1</v>
      </c>
      <c r="J161" s="135"/>
      <c r="K161" s="95"/>
      <c r="L161" s="134">
        <f>ROUND(K161/12,2)</f>
        <v>0</v>
      </c>
      <c r="M161" s="134">
        <f>L161*2</f>
        <v>0</v>
      </c>
      <c r="N161" s="135"/>
      <c r="O161" s="119">
        <f t="shared" si="6"/>
        <v>6</v>
      </c>
      <c r="P161" s="174">
        <f>ROUND(O161/24,2)</f>
        <v>0.25</v>
      </c>
      <c r="Q161" s="175">
        <f>P161*2</f>
        <v>0.5</v>
      </c>
      <c r="R161" s="176">
        <v>0</v>
      </c>
    </row>
    <row r="162" spans="1:18" x14ac:dyDescent="0.5">
      <c r="A162" s="55" t="s">
        <v>70</v>
      </c>
      <c r="B162" s="33" t="s">
        <v>3</v>
      </c>
      <c r="C162" s="95">
        <v>4233</v>
      </c>
      <c r="D162" s="134">
        <f>ROUND(C162/18,2)</f>
        <v>235.17</v>
      </c>
      <c r="E162" s="134"/>
      <c r="F162" s="135">
        <f>SUM(D162,E163:E164)</f>
        <v>251.17</v>
      </c>
      <c r="G162" s="95">
        <v>3441</v>
      </c>
      <c r="H162" s="134">
        <f>ROUND(G162/18,2)</f>
        <v>191.17</v>
      </c>
      <c r="I162" s="134"/>
      <c r="J162" s="135">
        <f>SUM(H162,I163:I164)</f>
        <v>204.17</v>
      </c>
      <c r="K162" s="106">
        <f>94</f>
        <v>94</v>
      </c>
      <c r="L162" s="134">
        <f>ROUND(K162/18,2)</f>
        <v>5.22</v>
      </c>
      <c r="M162" s="134"/>
      <c r="N162" s="135">
        <f>SUM(L162,M163:M164)</f>
        <v>5.22</v>
      </c>
      <c r="O162" s="115">
        <f t="shared" si="6"/>
        <v>7768</v>
      </c>
      <c r="P162" s="174">
        <f>ROUND(O162/36,2)</f>
        <v>215.78</v>
      </c>
      <c r="Q162" s="175" t="s">
        <v>44</v>
      </c>
      <c r="R162" s="176">
        <f>SUM(P162,Q163:Q164)</f>
        <v>230.28</v>
      </c>
    </row>
    <row r="163" spans="1:18" x14ac:dyDescent="0.5">
      <c r="A163" s="56"/>
      <c r="B163" s="33" t="s">
        <v>42</v>
      </c>
      <c r="C163" s="95">
        <v>66</v>
      </c>
      <c r="D163" s="134">
        <f>ROUND(C163/12,2)</f>
        <v>5.5</v>
      </c>
      <c r="E163" s="134">
        <f>D163*2</f>
        <v>11</v>
      </c>
      <c r="F163" s="135"/>
      <c r="G163" s="95">
        <v>48</v>
      </c>
      <c r="H163" s="134">
        <f>ROUND(G163/12,2)</f>
        <v>4</v>
      </c>
      <c r="I163" s="134">
        <f>H163*2</f>
        <v>8</v>
      </c>
      <c r="J163" s="135"/>
      <c r="K163" s="106"/>
      <c r="L163" s="134">
        <f>ROUND(K163/12,2)</f>
        <v>0</v>
      </c>
      <c r="M163" s="134">
        <f>L163*2</f>
        <v>0</v>
      </c>
      <c r="N163" s="135"/>
      <c r="O163" s="115">
        <f t="shared" si="6"/>
        <v>114</v>
      </c>
      <c r="P163" s="174">
        <f>ROUND(O163/24,2)</f>
        <v>4.75</v>
      </c>
      <c r="Q163" s="175">
        <f>P163*2</f>
        <v>9.5</v>
      </c>
      <c r="R163" s="176">
        <v>0</v>
      </c>
    </row>
    <row r="164" spans="1:18" x14ac:dyDescent="0.5">
      <c r="A164" s="56"/>
      <c r="B164" s="33" t="s">
        <v>43</v>
      </c>
      <c r="C164" s="95">
        <v>30</v>
      </c>
      <c r="D164" s="134">
        <f>ROUND(C164/12,2)</f>
        <v>2.5</v>
      </c>
      <c r="E164" s="134">
        <f>D164*2</f>
        <v>5</v>
      </c>
      <c r="F164" s="135"/>
      <c r="G164" s="95">
        <v>30</v>
      </c>
      <c r="H164" s="134">
        <f>ROUND(G164/12,2)</f>
        <v>2.5</v>
      </c>
      <c r="I164" s="134">
        <f>H164*2</f>
        <v>5</v>
      </c>
      <c r="J164" s="135"/>
      <c r="K164" s="95"/>
      <c r="L164" s="134">
        <f>ROUND(K164/12,2)</f>
        <v>0</v>
      </c>
      <c r="M164" s="134">
        <f>L164*2</f>
        <v>0</v>
      </c>
      <c r="N164" s="135"/>
      <c r="O164" s="119">
        <f t="shared" si="6"/>
        <v>60</v>
      </c>
      <c r="P164" s="174">
        <f>ROUND(O164/24,2)</f>
        <v>2.5</v>
      </c>
      <c r="Q164" s="175">
        <f>P164*2</f>
        <v>5</v>
      </c>
      <c r="R164" s="176">
        <v>0</v>
      </c>
    </row>
    <row r="165" spans="1:18" x14ac:dyDescent="0.5">
      <c r="A165" s="55" t="s">
        <v>71</v>
      </c>
      <c r="B165" s="33" t="s">
        <v>3</v>
      </c>
      <c r="C165" s="95">
        <v>3905</v>
      </c>
      <c r="D165" s="134">
        <f>ROUND(C165/18,2)</f>
        <v>216.94</v>
      </c>
      <c r="E165" s="134"/>
      <c r="F165" s="135">
        <f>SUM(D165,E166:E167)</f>
        <v>217.94</v>
      </c>
      <c r="G165" s="95">
        <v>3052</v>
      </c>
      <c r="H165" s="134">
        <f>ROUND(G165/18,2)</f>
        <v>169.56</v>
      </c>
      <c r="I165" s="134"/>
      <c r="J165" s="135">
        <f>SUM(H165,I166:I167)</f>
        <v>170.56</v>
      </c>
      <c r="K165" s="106">
        <f>75</f>
        <v>75</v>
      </c>
      <c r="L165" s="134">
        <f>ROUND(K165/18,2)</f>
        <v>4.17</v>
      </c>
      <c r="M165" s="134"/>
      <c r="N165" s="135">
        <f>SUM(L165,M166:M167)</f>
        <v>4.17</v>
      </c>
      <c r="O165" s="115">
        <f t="shared" si="6"/>
        <v>7032</v>
      </c>
      <c r="P165" s="174">
        <f>ROUND(O165/36,2)</f>
        <v>195.33</v>
      </c>
      <c r="Q165" s="175" t="s">
        <v>44</v>
      </c>
      <c r="R165" s="176">
        <f>SUM(P165,Q166:Q167)</f>
        <v>196.33</v>
      </c>
    </row>
    <row r="166" spans="1:18" x14ac:dyDescent="0.5">
      <c r="A166" s="56"/>
      <c r="B166" s="33" t="s">
        <v>42</v>
      </c>
      <c r="C166" s="95"/>
      <c r="D166" s="134">
        <f>ROUND(C166/12,2)</f>
        <v>0</v>
      </c>
      <c r="E166" s="134">
        <f>D166*2</f>
        <v>0</v>
      </c>
      <c r="F166" s="135"/>
      <c r="G166" s="95"/>
      <c r="H166" s="134">
        <f>ROUND(G166/12,2)</f>
        <v>0</v>
      </c>
      <c r="I166" s="134">
        <f>H166*2</f>
        <v>0</v>
      </c>
      <c r="J166" s="135"/>
      <c r="K166" s="106"/>
      <c r="L166" s="134">
        <f>ROUND(K166/12,2)</f>
        <v>0</v>
      </c>
      <c r="M166" s="134">
        <f>L166*2</f>
        <v>0</v>
      </c>
      <c r="N166" s="135"/>
      <c r="O166" s="115">
        <f t="shared" si="6"/>
        <v>0</v>
      </c>
      <c r="P166" s="174">
        <f>ROUND(O166/24,2)</f>
        <v>0</v>
      </c>
      <c r="Q166" s="175">
        <f>P166*2</f>
        <v>0</v>
      </c>
      <c r="R166" s="176">
        <v>0</v>
      </c>
    </row>
    <row r="167" spans="1:18" x14ac:dyDescent="0.5">
      <c r="A167" s="56"/>
      <c r="B167" s="33" t="s">
        <v>43</v>
      </c>
      <c r="C167" s="95">
        <v>6</v>
      </c>
      <c r="D167" s="134">
        <f>ROUND(C167/12,2)</f>
        <v>0.5</v>
      </c>
      <c r="E167" s="134">
        <f>D167*2</f>
        <v>1</v>
      </c>
      <c r="F167" s="135"/>
      <c r="G167" s="95">
        <v>6</v>
      </c>
      <c r="H167" s="134">
        <f>ROUND(G167/12,2)</f>
        <v>0.5</v>
      </c>
      <c r="I167" s="134">
        <f>H167*2</f>
        <v>1</v>
      </c>
      <c r="J167" s="135"/>
      <c r="K167" s="95"/>
      <c r="L167" s="134">
        <f>ROUND(K167/12,2)</f>
        <v>0</v>
      </c>
      <c r="M167" s="134">
        <f>L167*2</f>
        <v>0</v>
      </c>
      <c r="N167" s="135"/>
      <c r="O167" s="119">
        <f t="shared" si="6"/>
        <v>12</v>
      </c>
      <c r="P167" s="174">
        <f>ROUND(O167/24,2)</f>
        <v>0.5</v>
      </c>
      <c r="Q167" s="175">
        <f>P167*2</f>
        <v>1</v>
      </c>
      <c r="R167" s="176">
        <v>0</v>
      </c>
    </row>
    <row r="168" spans="1:18" x14ac:dyDescent="0.5">
      <c r="A168" s="55" t="s">
        <v>72</v>
      </c>
      <c r="B168" s="33" t="s">
        <v>3</v>
      </c>
      <c r="C168" s="95">
        <v>5595</v>
      </c>
      <c r="D168" s="134">
        <f>ROUND(C168/18,2)</f>
        <v>310.83</v>
      </c>
      <c r="E168" s="134"/>
      <c r="F168" s="135">
        <f>SUM(D168,E169:E170)</f>
        <v>324.49</v>
      </c>
      <c r="G168" s="95">
        <v>4489</v>
      </c>
      <c r="H168" s="134">
        <f>ROUND(G168/18,2)</f>
        <v>249.39</v>
      </c>
      <c r="I168" s="134"/>
      <c r="J168" s="135">
        <f>SUM(H168,I169:I170)</f>
        <v>256.22999999999996</v>
      </c>
      <c r="K168" s="106">
        <f>109</f>
        <v>109</v>
      </c>
      <c r="L168" s="134">
        <f>ROUND(K168/18,2)</f>
        <v>6.06</v>
      </c>
      <c r="M168" s="134"/>
      <c r="N168" s="135">
        <f>SUM(L168,M169:M170)</f>
        <v>8.0599999999999987</v>
      </c>
      <c r="O168" s="115">
        <f t="shared" si="6"/>
        <v>10193</v>
      </c>
      <c r="P168" s="174">
        <f>ROUND(O168/36,2)</f>
        <v>283.14</v>
      </c>
      <c r="Q168" s="175" t="s">
        <v>44</v>
      </c>
      <c r="R168" s="176">
        <f>SUM(P168,Q169:Q170)</f>
        <v>294.39999999999998</v>
      </c>
    </row>
    <row r="169" spans="1:18" x14ac:dyDescent="0.5">
      <c r="A169" s="56"/>
      <c r="B169" s="33" t="s">
        <v>42</v>
      </c>
      <c r="C169" s="95">
        <v>82</v>
      </c>
      <c r="D169" s="134">
        <f>ROUND(C169/12,2)</f>
        <v>6.83</v>
      </c>
      <c r="E169" s="134">
        <f>D169*2</f>
        <v>13.66</v>
      </c>
      <c r="F169" s="135"/>
      <c r="G169" s="95">
        <v>41</v>
      </c>
      <c r="H169" s="134">
        <f>ROUND(G169/12,2)</f>
        <v>3.42</v>
      </c>
      <c r="I169" s="134">
        <f>H169*2</f>
        <v>6.84</v>
      </c>
      <c r="J169" s="135"/>
      <c r="K169" s="95">
        <f>12</f>
        <v>12</v>
      </c>
      <c r="L169" s="134">
        <f>ROUND(K169/12,2)</f>
        <v>1</v>
      </c>
      <c r="M169" s="134">
        <f>L169*2</f>
        <v>2</v>
      </c>
      <c r="N169" s="135"/>
      <c r="O169" s="115">
        <f t="shared" si="6"/>
        <v>135</v>
      </c>
      <c r="P169" s="174">
        <f>ROUND(O169/24,2)</f>
        <v>5.63</v>
      </c>
      <c r="Q169" s="175">
        <f>P169*2</f>
        <v>11.26</v>
      </c>
      <c r="R169" s="176">
        <v>0</v>
      </c>
    </row>
    <row r="170" spans="1:18" x14ac:dyDescent="0.5">
      <c r="A170" s="56"/>
      <c r="B170" s="33" t="s">
        <v>43</v>
      </c>
      <c r="C170" s="95"/>
      <c r="D170" s="134">
        <f>ROUND(C170/12,2)</f>
        <v>0</v>
      </c>
      <c r="E170" s="134">
        <f>D170*2</f>
        <v>0</v>
      </c>
      <c r="F170" s="135"/>
      <c r="G170" s="95"/>
      <c r="H170" s="134">
        <f>ROUND(G170/12,2)</f>
        <v>0</v>
      </c>
      <c r="I170" s="134">
        <f>H170*2</f>
        <v>0</v>
      </c>
      <c r="J170" s="135"/>
      <c r="K170" s="95"/>
      <c r="L170" s="134">
        <f>ROUND(K170/12,2)</f>
        <v>0</v>
      </c>
      <c r="M170" s="134">
        <f>L170*2</f>
        <v>0</v>
      </c>
      <c r="N170" s="135"/>
      <c r="O170" s="119">
        <f t="shared" si="6"/>
        <v>0</v>
      </c>
      <c r="P170" s="174">
        <f>ROUND(O170/24,2)</f>
        <v>0</v>
      </c>
      <c r="Q170" s="175">
        <f>P170*2</f>
        <v>0</v>
      </c>
      <c r="R170" s="176">
        <v>0</v>
      </c>
    </row>
    <row r="171" spans="1:18" x14ac:dyDescent="0.5">
      <c r="A171" s="55" t="s">
        <v>73</v>
      </c>
      <c r="B171" s="33" t="s">
        <v>3</v>
      </c>
      <c r="C171" s="95">
        <v>2725</v>
      </c>
      <c r="D171" s="134">
        <f>ROUND(C171/18,2)</f>
        <v>151.38999999999999</v>
      </c>
      <c r="E171" s="134"/>
      <c r="F171" s="135">
        <f>SUM(D171,E172:E173)</f>
        <v>179.20999999999998</v>
      </c>
      <c r="G171" s="95">
        <v>3178</v>
      </c>
      <c r="H171" s="134">
        <f>ROUND(G171/18,2)</f>
        <v>176.56</v>
      </c>
      <c r="I171" s="134"/>
      <c r="J171" s="135">
        <f>SUM(H171,I172:I173)</f>
        <v>205.06</v>
      </c>
      <c r="K171" s="106"/>
      <c r="L171" s="134">
        <f>ROUND(K171/18,2)</f>
        <v>0</v>
      </c>
      <c r="M171" s="134"/>
      <c r="N171" s="135">
        <f>SUM(L171,M172:M173)</f>
        <v>0</v>
      </c>
      <c r="O171" s="115">
        <f t="shared" si="6"/>
        <v>5903</v>
      </c>
      <c r="P171" s="174">
        <f>ROUND(O171/36,2)</f>
        <v>163.97</v>
      </c>
      <c r="Q171" s="175" t="s">
        <v>44</v>
      </c>
      <c r="R171" s="176">
        <f>SUM(P171,Q172:Q173)</f>
        <v>192.15</v>
      </c>
    </row>
    <row r="172" spans="1:18" x14ac:dyDescent="0.5">
      <c r="A172" s="56"/>
      <c r="B172" s="33" t="s">
        <v>42</v>
      </c>
      <c r="C172" s="95">
        <v>148</v>
      </c>
      <c r="D172" s="134">
        <f>ROUND(C172/12,2)</f>
        <v>12.33</v>
      </c>
      <c r="E172" s="134">
        <f>D172*2</f>
        <v>24.66</v>
      </c>
      <c r="F172" s="135"/>
      <c r="G172" s="95">
        <v>162</v>
      </c>
      <c r="H172" s="134">
        <f>ROUND(G172/12,2)</f>
        <v>13.5</v>
      </c>
      <c r="I172" s="134">
        <f>H172*2</f>
        <v>27</v>
      </c>
      <c r="J172" s="135"/>
      <c r="K172" s="106"/>
      <c r="L172" s="134">
        <f>ROUND(K172/12,2)</f>
        <v>0</v>
      </c>
      <c r="M172" s="134">
        <f>L172*2</f>
        <v>0</v>
      </c>
      <c r="N172" s="135"/>
      <c r="O172" s="115">
        <f t="shared" si="6"/>
        <v>310</v>
      </c>
      <c r="P172" s="174">
        <f>ROUND(O172/24,2)</f>
        <v>12.92</v>
      </c>
      <c r="Q172" s="175">
        <f>P172*2</f>
        <v>25.84</v>
      </c>
      <c r="R172" s="176">
        <v>0</v>
      </c>
    </row>
    <row r="173" spans="1:18" x14ac:dyDescent="0.5">
      <c r="A173" s="56"/>
      <c r="B173" s="33" t="s">
        <v>43</v>
      </c>
      <c r="C173" s="95">
        <v>19</v>
      </c>
      <c r="D173" s="134">
        <f>ROUND(C173/12,2)</f>
        <v>1.58</v>
      </c>
      <c r="E173" s="134">
        <f>D173*2</f>
        <v>3.16</v>
      </c>
      <c r="F173" s="135"/>
      <c r="G173" s="95">
        <v>9</v>
      </c>
      <c r="H173" s="134">
        <f>ROUND(G173/12,2)</f>
        <v>0.75</v>
      </c>
      <c r="I173" s="134">
        <f>H173*2</f>
        <v>1.5</v>
      </c>
      <c r="J173" s="135"/>
      <c r="K173" s="95"/>
      <c r="L173" s="134">
        <f>ROUND(K173/12,2)</f>
        <v>0</v>
      </c>
      <c r="M173" s="134">
        <f>L173*2</f>
        <v>0</v>
      </c>
      <c r="N173" s="135"/>
      <c r="O173" s="119">
        <f t="shared" si="6"/>
        <v>28</v>
      </c>
      <c r="P173" s="174">
        <f>ROUND(O173/24,2)</f>
        <v>1.17</v>
      </c>
      <c r="Q173" s="175">
        <f>P173*2</f>
        <v>2.34</v>
      </c>
      <c r="R173" s="176">
        <v>0</v>
      </c>
    </row>
    <row r="174" spans="1:18" x14ac:dyDescent="0.5">
      <c r="A174" s="55" t="s">
        <v>74</v>
      </c>
      <c r="B174" s="33" t="s">
        <v>3</v>
      </c>
      <c r="C174" s="95">
        <v>3713</v>
      </c>
      <c r="D174" s="134">
        <f>ROUND(C174/18,2)</f>
        <v>206.28</v>
      </c>
      <c r="E174" s="134"/>
      <c r="F174" s="135">
        <f>SUM(D174,E175:E176)</f>
        <v>213.78</v>
      </c>
      <c r="G174" s="95">
        <v>4446</v>
      </c>
      <c r="H174" s="134">
        <f>ROUND(G174/18,2)</f>
        <v>247</v>
      </c>
      <c r="I174" s="134"/>
      <c r="J174" s="135">
        <f>SUM(H174,I175:I176)</f>
        <v>255.5</v>
      </c>
      <c r="K174" s="106">
        <f>97</f>
        <v>97</v>
      </c>
      <c r="L174" s="134">
        <f>ROUND(K174/18,2)</f>
        <v>5.39</v>
      </c>
      <c r="M174" s="134"/>
      <c r="N174" s="135">
        <f>SUM(L174,M175:M176)</f>
        <v>6.89</v>
      </c>
      <c r="O174" s="115">
        <f t="shared" si="6"/>
        <v>8256</v>
      </c>
      <c r="P174" s="174">
        <f>ROUND(O174/36,2)</f>
        <v>229.33</v>
      </c>
      <c r="Q174" s="175" t="s">
        <v>44</v>
      </c>
      <c r="R174" s="176">
        <f>SUM(P174,Q175:Q176)</f>
        <v>238.09</v>
      </c>
    </row>
    <row r="175" spans="1:18" x14ac:dyDescent="0.5">
      <c r="A175" s="56"/>
      <c r="B175" s="33" t="s">
        <v>42</v>
      </c>
      <c r="C175" s="95">
        <v>45</v>
      </c>
      <c r="D175" s="134">
        <f>ROUND(C175/12,2)</f>
        <v>3.75</v>
      </c>
      <c r="E175" s="134">
        <f>D175*2</f>
        <v>7.5</v>
      </c>
      <c r="F175" s="135"/>
      <c r="G175" s="95">
        <v>51</v>
      </c>
      <c r="H175" s="134">
        <f>ROUND(G175/12,2)</f>
        <v>4.25</v>
      </c>
      <c r="I175" s="134">
        <f>H175*2</f>
        <v>8.5</v>
      </c>
      <c r="J175" s="135"/>
      <c r="K175" s="95">
        <f>9</f>
        <v>9</v>
      </c>
      <c r="L175" s="134">
        <f>ROUND(K175/12,2)</f>
        <v>0.75</v>
      </c>
      <c r="M175" s="134">
        <f>L175*2</f>
        <v>1.5</v>
      </c>
      <c r="N175" s="135"/>
      <c r="O175" s="115">
        <f t="shared" si="6"/>
        <v>105</v>
      </c>
      <c r="P175" s="174">
        <f>ROUND(O175/24,2)</f>
        <v>4.38</v>
      </c>
      <c r="Q175" s="175">
        <f>P175*2</f>
        <v>8.76</v>
      </c>
      <c r="R175" s="176">
        <v>0</v>
      </c>
    </row>
    <row r="176" spans="1:18" x14ac:dyDescent="0.5">
      <c r="A176" s="56"/>
      <c r="B176" s="33" t="s">
        <v>43</v>
      </c>
      <c r="C176" s="95"/>
      <c r="D176" s="134">
        <f>ROUND(C176/12,2)</f>
        <v>0</v>
      </c>
      <c r="E176" s="134">
        <f>D176*2</f>
        <v>0</v>
      </c>
      <c r="F176" s="135"/>
      <c r="G176" s="95"/>
      <c r="H176" s="134">
        <f>ROUND(G176/12,2)</f>
        <v>0</v>
      </c>
      <c r="I176" s="134">
        <f>H176*2</f>
        <v>0</v>
      </c>
      <c r="J176" s="135"/>
      <c r="K176" s="95"/>
      <c r="L176" s="134">
        <f>ROUND(K176/12,2)</f>
        <v>0</v>
      </c>
      <c r="M176" s="134">
        <f>L176*2</f>
        <v>0</v>
      </c>
      <c r="N176" s="135"/>
      <c r="O176" s="119">
        <f t="shared" si="6"/>
        <v>0</v>
      </c>
      <c r="P176" s="174">
        <f>ROUND(O176/24,2)</f>
        <v>0</v>
      </c>
      <c r="Q176" s="175">
        <f>P176*2</f>
        <v>0</v>
      </c>
      <c r="R176" s="176">
        <v>0</v>
      </c>
    </row>
    <row r="177" spans="1:18" x14ac:dyDescent="0.5">
      <c r="A177" s="63" t="s">
        <v>56</v>
      </c>
      <c r="B177" s="38" t="s">
        <v>3</v>
      </c>
      <c r="C177" s="78">
        <f>SUM(C159,C162,C165,C168,C171,C174)</f>
        <v>20976</v>
      </c>
      <c r="D177" s="140">
        <f>ROUND(C177/18,2)</f>
        <v>1165.33</v>
      </c>
      <c r="E177" s="140"/>
      <c r="F177" s="141">
        <f>SUM(D177,E178:E179)</f>
        <v>1243.49</v>
      </c>
      <c r="G177" s="78">
        <f>SUM(G159,G162,G165,G168,G171,G174)</f>
        <v>20137</v>
      </c>
      <c r="H177" s="140">
        <f>ROUND(G177/18,2)</f>
        <v>1118.72</v>
      </c>
      <c r="I177" s="140"/>
      <c r="J177" s="141">
        <f>SUM(H177,I178:I179)</f>
        <v>1194.56</v>
      </c>
      <c r="K177" s="78">
        <f>SUM(K159,K162,K165,K168,K171,K174)</f>
        <v>439</v>
      </c>
      <c r="L177" s="140">
        <f>ROUND(K177/18,2)</f>
        <v>24.39</v>
      </c>
      <c r="M177" s="140"/>
      <c r="N177" s="141">
        <f>SUM(L177,M178:M179)</f>
        <v>27.89</v>
      </c>
      <c r="O177" s="120">
        <f t="shared" si="6"/>
        <v>41552</v>
      </c>
      <c r="P177" s="184">
        <f>ROUND(O177/36,2)</f>
        <v>1154.22</v>
      </c>
      <c r="Q177" s="185" t="s">
        <v>44</v>
      </c>
      <c r="R177" s="176">
        <f>SUM(P177,Q178:Q179)</f>
        <v>1232.98</v>
      </c>
    </row>
    <row r="178" spans="1:18" x14ac:dyDescent="0.5">
      <c r="A178" s="68"/>
      <c r="B178" s="38" t="s">
        <v>42</v>
      </c>
      <c r="C178" s="78">
        <f>SUM(C160,C163,C166,C169,C172,C175)</f>
        <v>414</v>
      </c>
      <c r="D178" s="140">
        <f>ROUND(C178/12,2)</f>
        <v>34.5</v>
      </c>
      <c r="E178" s="140">
        <f>D178*2</f>
        <v>69</v>
      </c>
      <c r="F178" s="141"/>
      <c r="G178" s="78">
        <f>SUM(G160,G163,G166,G169,G172,G175)</f>
        <v>404</v>
      </c>
      <c r="H178" s="140">
        <f>ROUND(G178/12,2)</f>
        <v>33.67</v>
      </c>
      <c r="I178" s="140">
        <f>H178*2</f>
        <v>67.34</v>
      </c>
      <c r="J178" s="141"/>
      <c r="K178" s="78">
        <f>SUM(K160,K163,K166,K169,K172,K175)</f>
        <v>21</v>
      </c>
      <c r="L178" s="140">
        <f>ROUND(K178/12,2)</f>
        <v>1.75</v>
      </c>
      <c r="M178" s="140">
        <f>L178*2</f>
        <v>3.5</v>
      </c>
      <c r="N178" s="141"/>
      <c r="O178" s="120">
        <f t="shared" si="6"/>
        <v>839</v>
      </c>
      <c r="P178" s="184">
        <f>ROUND(O178/24,2)</f>
        <v>34.96</v>
      </c>
      <c r="Q178" s="185">
        <f>P178*2</f>
        <v>69.92</v>
      </c>
      <c r="R178" s="176">
        <v>0</v>
      </c>
    </row>
    <row r="179" spans="1:18" ht="22.5" thickBot="1" x14ac:dyDescent="0.55000000000000004">
      <c r="A179" s="57"/>
      <c r="B179" s="39" t="s">
        <v>43</v>
      </c>
      <c r="C179" s="79">
        <f>SUM(C161,C164,C167,C170,C173,C176)</f>
        <v>55</v>
      </c>
      <c r="D179" s="142">
        <f>ROUND(C179/12,2)</f>
        <v>4.58</v>
      </c>
      <c r="E179" s="142">
        <f>D179*2</f>
        <v>9.16</v>
      </c>
      <c r="F179" s="143"/>
      <c r="G179" s="79">
        <f>SUM(G161,G164,G167,G170,G173,G176)</f>
        <v>51</v>
      </c>
      <c r="H179" s="142">
        <f>ROUND(G179/12,2)</f>
        <v>4.25</v>
      </c>
      <c r="I179" s="142">
        <f>H179*2</f>
        <v>8.5</v>
      </c>
      <c r="J179" s="143"/>
      <c r="K179" s="79">
        <f>SUM(K161,K164,K167,K170,K173,K176)</f>
        <v>0</v>
      </c>
      <c r="L179" s="142">
        <f>ROUND(K179/12,2)</f>
        <v>0</v>
      </c>
      <c r="M179" s="142">
        <f>L179*2</f>
        <v>0</v>
      </c>
      <c r="N179" s="143"/>
      <c r="O179" s="123">
        <f t="shared" si="6"/>
        <v>106</v>
      </c>
      <c r="P179" s="187">
        <f>ROUND(O179/24,2)</f>
        <v>4.42</v>
      </c>
      <c r="Q179" s="187">
        <f>P179*2</f>
        <v>8.84</v>
      </c>
      <c r="R179" s="179">
        <v>0</v>
      </c>
    </row>
    <row r="180" spans="1:18" x14ac:dyDescent="0.5">
      <c r="A180" s="58" t="s">
        <v>17</v>
      </c>
      <c r="B180" s="36"/>
      <c r="C180" s="97"/>
      <c r="D180" s="138"/>
      <c r="E180" s="138"/>
      <c r="F180" s="139"/>
      <c r="G180" s="97"/>
      <c r="H180" s="138"/>
      <c r="I180" s="168"/>
      <c r="J180" s="139"/>
      <c r="K180" s="111"/>
      <c r="L180" s="138"/>
      <c r="M180" s="168"/>
      <c r="N180" s="139"/>
      <c r="O180" s="124"/>
      <c r="P180" s="183"/>
      <c r="Q180" s="183"/>
      <c r="R180" s="182"/>
    </row>
    <row r="181" spans="1:18" x14ac:dyDescent="0.5">
      <c r="A181" s="55" t="s">
        <v>41</v>
      </c>
      <c r="B181" s="33" t="s">
        <v>3</v>
      </c>
      <c r="C181" s="95">
        <f>2217-410+255-67+14330-4109</f>
        <v>12216</v>
      </c>
      <c r="D181" s="134">
        <f>ROUND(C181/18,2)</f>
        <v>678.67</v>
      </c>
      <c r="E181" s="134"/>
      <c r="F181" s="135">
        <f>SUM(D181,E182:E183)</f>
        <v>770.46999999999991</v>
      </c>
      <c r="G181" s="95">
        <f>1571-106+1011-69+9271-3635</f>
        <v>8043</v>
      </c>
      <c r="H181" s="134">
        <f>ROUND(G181/18,2)</f>
        <v>446.83</v>
      </c>
      <c r="I181" s="134"/>
      <c r="J181" s="135">
        <f>SUM(H181,I182:I183)</f>
        <v>527.82999999999993</v>
      </c>
      <c r="K181" s="95">
        <f>4+467</f>
        <v>471</v>
      </c>
      <c r="L181" s="134">
        <f>ROUND(K181/18,2)</f>
        <v>26.17</v>
      </c>
      <c r="M181" s="134"/>
      <c r="N181" s="135">
        <f>SUM(L181,M182:M183)</f>
        <v>26.17</v>
      </c>
      <c r="O181" s="115">
        <f>SUM(C181,G181,K181)</f>
        <v>20730</v>
      </c>
      <c r="P181" s="174">
        <f>ROUND(O181/36,2)</f>
        <v>575.83000000000004</v>
      </c>
      <c r="Q181" s="175" t="s">
        <v>44</v>
      </c>
      <c r="R181" s="176">
        <f>SUM(P181,Q182:Q183)</f>
        <v>662.23</v>
      </c>
    </row>
    <row r="182" spans="1:18" x14ac:dyDescent="0.5">
      <c r="A182" s="56"/>
      <c r="B182" s="33" t="s">
        <v>42</v>
      </c>
      <c r="C182" s="95"/>
      <c r="D182" s="134">
        <f>ROUND(C182/12,2)</f>
        <v>0</v>
      </c>
      <c r="E182" s="134">
        <f>D182*1.8</f>
        <v>0</v>
      </c>
      <c r="F182" s="135"/>
      <c r="G182" s="95"/>
      <c r="H182" s="134">
        <f>ROUND(G182/12,2)</f>
        <v>0</v>
      </c>
      <c r="I182" s="134">
        <f>H182*1.8</f>
        <v>0</v>
      </c>
      <c r="J182" s="135"/>
      <c r="K182" s="95"/>
      <c r="L182" s="134">
        <f>ROUND(K182/12,2)</f>
        <v>0</v>
      </c>
      <c r="M182" s="134">
        <f>L182*1.8</f>
        <v>0</v>
      </c>
      <c r="N182" s="135"/>
      <c r="O182" s="119">
        <f>SUM(C182,G182,K182)</f>
        <v>0</v>
      </c>
      <c r="P182" s="175">
        <f>ROUND(O182/24,2)</f>
        <v>0</v>
      </c>
      <c r="Q182" s="175">
        <f>P182*1.8</f>
        <v>0</v>
      </c>
      <c r="R182" s="176">
        <v>0</v>
      </c>
    </row>
    <row r="183" spans="1:18" ht="22.5" thickBot="1" x14ac:dyDescent="0.55000000000000004">
      <c r="A183" s="57"/>
      <c r="B183" s="34" t="s">
        <v>43</v>
      </c>
      <c r="C183" s="96">
        <f>333+279</f>
        <v>612</v>
      </c>
      <c r="D183" s="136">
        <f>ROUND(C183/12,2)</f>
        <v>51</v>
      </c>
      <c r="E183" s="136">
        <f>D183*1.8</f>
        <v>91.8</v>
      </c>
      <c r="F183" s="137"/>
      <c r="G183" s="96">
        <f>111+333+96</f>
        <v>540</v>
      </c>
      <c r="H183" s="136">
        <f>ROUND(G183/12,2)</f>
        <v>45</v>
      </c>
      <c r="I183" s="136">
        <f>H183*1.8</f>
        <v>81</v>
      </c>
      <c r="J183" s="137"/>
      <c r="K183" s="96"/>
      <c r="L183" s="136">
        <f>ROUND(K183/12,2)</f>
        <v>0</v>
      </c>
      <c r="M183" s="136">
        <f>L183*1.8</f>
        <v>0</v>
      </c>
      <c r="N183" s="137"/>
      <c r="O183" s="125">
        <f>SUM(C183,G183,K183)</f>
        <v>1152</v>
      </c>
      <c r="P183" s="178">
        <f>ROUND(O183/24,2)</f>
        <v>48</v>
      </c>
      <c r="Q183" s="178">
        <f>P183*1.8</f>
        <v>86.4</v>
      </c>
      <c r="R183" s="179">
        <v>0</v>
      </c>
    </row>
    <row r="184" spans="1:18" x14ac:dyDescent="0.5">
      <c r="A184" s="58" t="s">
        <v>18</v>
      </c>
      <c r="B184" s="36"/>
      <c r="C184" s="97"/>
      <c r="D184" s="138"/>
      <c r="E184" s="138"/>
      <c r="F184" s="139"/>
      <c r="G184" s="97"/>
      <c r="H184" s="138"/>
      <c r="I184" s="168"/>
      <c r="J184" s="139"/>
      <c r="K184" s="108"/>
      <c r="L184" s="138"/>
      <c r="M184" s="138"/>
      <c r="N184" s="139"/>
      <c r="O184" s="118"/>
      <c r="P184" s="183"/>
      <c r="Q184" s="181"/>
      <c r="R184" s="182"/>
    </row>
    <row r="185" spans="1:18" x14ac:dyDescent="0.5">
      <c r="A185" s="55" t="s">
        <v>75</v>
      </c>
      <c r="B185" s="33" t="s">
        <v>3</v>
      </c>
      <c r="C185" s="95">
        <f>11271+1395</f>
        <v>12666</v>
      </c>
      <c r="D185" s="134">
        <f>ROUND(C185/18,2)</f>
        <v>703.67</v>
      </c>
      <c r="E185" s="134"/>
      <c r="F185" s="135">
        <f>SUM(D185,E186:E188)</f>
        <v>905.3</v>
      </c>
      <c r="G185" s="95">
        <f>9333+1490</f>
        <v>10823</v>
      </c>
      <c r="H185" s="134">
        <f>ROUND(G185/18,2)</f>
        <v>601.28</v>
      </c>
      <c r="I185" s="134"/>
      <c r="J185" s="135">
        <f>SUM(H185,I186:I188)</f>
        <v>709.14499999999998</v>
      </c>
      <c r="K185" s="212">
        <f>546</f>
        <v>546</v>
      </c>
      <c r="L185" s="134">
        <f>ROUND(K185/18,2)</f>
        <v>30.33</v>
      </c>
      <c r="M185" s="134"/>
      <c r="N185" s="135">
        <f>SUM(L185,M186:M188)</f>
        <v>34.574999999999996</v>
      </c>
      <c r="O185" s="115">
        <f t="shared" ref="O185:O216" si="7">SUM(C185,G185,K185)</f>
        <v>24035</v>
      </c>
      <c r="P185" s="174">
        <f>ROUND(O185/36,2)</f>
        <v>667.64</v>
      </c>
      <c r="Q185" s="175" t="s">
        <v>44</v>
      </c>
      <c r="R185" s="176">
        <f>SUM(P185,Q186:Q188)</f>
        <v>824.51</v>
      </c>
    </row>
    <row r="186" spans="1:18" x14ac:dyDescent="0.5">
      <c r="A186" s="56"/>
      <c r="B186" s="33" t="s">
        <v>76</v>
      </c>
      <c r="C186" s="95"/>
      <c r="D186" s="134">
        <f>ROUND(C186/12,2)</f>
        <v>0</v>
      </c>
      <c r="E186" s="134">
        <f>D186*1.5</f>
        <v>0</v>
      </c>
      <c r="F186" s="135"/>
      <c r="G186" s="95"/>
      <c r="H186" s="134">
        <f>ROUND(G186/12,2)</f>
        <v>0</v>
      </c>
      <c r="I186" s="134">
        <f>H186*1.5</f>
        <v>0</v>
      </c>
      <c r="J186" s="135"/>
      <c r="K186" s="194"/>
      <c r="L186" s="134">
        <f>ROUND(K186/12,2)</f>
        <v>0</v>
      </c>
      <c r="M186" s="134">
        <f>L186*1.5</f>
        <v>0</v>
      </c>
      <c r="N186" s="135"/>
      <c r="O186" s="115">
        <f t="shared" si="7"/>
        <v>0</v>
      </c>
      <c r="P186" s="174">
        <f>ROUND(O186/24,2)</f>
        <v>0</v>
      </c>
      <c r="Q186" s="175">
        <f>P186*1.5</f>
        <v>0</v>
      </c>
      <c r="R186" s="176">
        <v>0</v>
      </c>
    </row>
    <row r="187" spans="1:18" x14ac:dyDescent="0.5">
      <c r="A187" s="56"/>
      <c r="B187" s="33" t="s">
        <v>42</v>
      </c>
      <c r="C187" s="95">
        <f>1012+70</f>
        <v>1082</v>
      </c>
      <c r="D187" s="134">
        <f>ROUND(C187/12,2)</f>
        <v>90.17</v>
      </c>
      <c r="E187" s="134">
        <f>D187*1.5</f>
        <v>135.255</v>
      </c>
      <c r="F187" s="135"/>
      <c r="G187" s="95">
        <f>646+75</f>
        <v>721</v>
      </c>
      <c r="H187" s="134">
        <f>ROUND(G187/12,2)</f>
        <v>60.08</v>
      </c>
      <c r="I187" s="134">
        <f>H187*1.5</f>
        <v>90.12</v>
      </c>
      <c r="J187" s="135"/>
      <c r="K187" s="194">
        <v>34</v>
      </c>
      <c r="L187" s="134">
        <f>ROUND(K187/12,2)</f>
        <v>2.83</v>
      </c>
      <c r="M187" s="134">
        <f>L187*1.5</f>
        <v>4.2450000000000001</v>
      </c>
      <c r="N187" s="135"/>
      <c r="O187" s="115">
        <f t="shared" si="7"/>
        <v>1837</v>
      </c>
      <c r="P187" s="174">
        <f>ROUND(O187/24,2)</f>
        <v>76.540000000000006</v>
      </c>
      <c r="Q187" s="175">
        <f>P187*1.5</f>
        <v>114.81</v>
      </c>
      <c r="R187" s="176">
        <v>0</v>
      </c>
    </row>
    <row r="188" spans="1:18" x14ac:dyDescent="0.5">
      <c r="A188" s="56"/>
      <c r="B188" s="33" t="s">
        <v>43</v>
      </c>
      <c r="C188" s="95">
        <v>531</v>
      </c>
      <c r="D188" s="134">
        <f>ROUND(C188/12,2)</f>
        <v>44.25</v>
      </c>
      <c r="E188" s="134">
        <f>D188*1.5</f>
        <v>66.375</v>
      </c>
      <c r="F188" s="135"/>
      <c r="G188" s="95">
        <v>142</v>
      </c>
      <c r="H188" s="134">
        <f>ROUND(G188/12,2)</f>
        <v>11.83</v>
      </c>
      <c r="I188" s="134">
        <f>H188*1.5</f>
        <v>17.745000000000001</v>
      </c>
      <c r="J188" s="135"/>
      <c r="K188" s="194"/>
      <c r="L188" s="134">
        <f>ROUND(K188/12,2)</f>
        <v>0</v>
      </c>
      <c r="M188" s="134">
        <f>L188*1.5</f>
        <v>0</v>
      </c>
      <c r="N188" s="135"/>
      <c r="O188" s="115">
        <f t="shared" si="7"/>
        <v>673</v>
      </c>
      <c r="P188" s="174">
        <f>ROUND(O188/24,2)</f>
        <v>28.04</v>
      </c>
      <c r="Q188" s="175">
        <f>P188*1.5</f>
        <v>42.06</v>
      </c>
      <c r="R188" s="176">
        <v>0</v>
      </c>
    </row>
    <row r="189" spans="1:18" x14ac:dyDescent="0.5">
      <c r="A189" s="55" t="s">
        <v>77</v>
      </c>
      <c r="B189" s="33" t="s">
        <v>3</v>
      </c>
      <c r="C189" s="95">
        <f>5043+592</f>
        <v>5635</v>
      </c>
      <c r="D189" s="134">
        <f>ROUND(C189/18,2)</f>
        <v>313.06</v>
      </c>
      <c r="E189" s="134"/>
      <c r="F189" s="135">
        <f>SUM(D189,E190:E192)</f>
        <v>510.05500000000001</v>
      </c>
      <c r="G189" s="95">
        <f>4516+538</f>
        <v>5054</v>
      </c>
      <c r="H189" s="134">
        <f>ROUND(G189/18,2)</f>
        <v>280.77999999999997</v>
      </c>
      <c r="I189" s="134"/>
      <c r="J189" s="135">
        <f>SUM(H189,I190:I192)</f>
        <v>486.4</v>
      </c>
      <c r="K189" s="212">
        <v>140</v>
      </c>
      <c r="L189" s="134">
        <f>ROUND(K189/18,2)</f>
        <v>7.78</v>
      </c>
      <c r="M189" s="134"/>
      <c r="N189" s="135">
        <f>SUM(L189,M190:M192)</f>
        <v>13.525</v>
      </c>
      <c r="O189" s="115">
        <f t="shared" si="7"/>
        <v>10829</v>
      </c>
      <c r="P189" s="174">
        <f>ROUND(O189/36,2)</f>
        <v>300.81</v>
      </c>
      <c r="Q189" s="175" t="s">
        <v>44</v>
      </c>
      <c r="R189" s="176">
        <f>SUM(P189,Q190:Q192)</f>
        <v>505.005</v>
      </c>
    </row>
    <row r="190" spans="1:18" x14ac:dyDescent="0.5">
      <c r="A190" s="56"/>
      <c r="B190" s="33" t="s">
        <v>76</v>
      </c>
      <c r="C190" s="95"/>
      <c r="D190" s="134">
        <f>ROUND(C190/12,2)</f>
        <v>0</v>
      </c>
      <c r="E190" s="134">
        <f>D190*1.5</f>
        <v>0</v>
      </c>
      <c r="F190" s="135"/>
      <c r="G190" s="95"/>
      <c r="H190" s="134">
        <f>ROUND(G190/12,2)</f>
        <v>0</v>
      </c>
      <c r="I190" s="134">
        <f>H190*1.5</f>
        <v>0</v>
      </c>
      <c r="J190" s="135"/>
      <c r="K190" s="194"/>
      <c r="L190" s="134">
        <f>ROUND(K190/12,2)</f>
        <v>0</v>
      </c>
      <c r="M190" s="134">
        <f>L190*1.5</f>
        <v>0</v>
      </c>
      <c r="N190" s="135"/>
      <c r="O190" s="115">
        <f t="shared" si="7"/>
        <v>0</v>
      </c>
      <c r="P190" s="174">
        <f>ROUND(O190/24,2)</f>
        <v>0</v>
      </c>
      <c r="Q190" s="175">
        <f>P190*1.5</f>
        <v>0</v>
      </c>
      <c r="R190" s="176">
        <v>0</v>
      </c>
    </row>
    <row r="191" spans="1:18" x14ac:dyDescent="0.5">
      <c r="A191" s="56"/>
      <c r="B191" s="33" t="s">
        <v>42</v>
      </c>
      <c r="C191" s="95">
        <f>784+30</f>
        <v>814</v>
      </c>
      <c r="D191" s="134">
        <f>ROUND(C191/12,2)</f>
        <v>67.83</v>
      </c>
      <c r="E191" s="134">
        <f>D191*1.5</f>
        <v>101.745</v>
      </c>
      <c r="F191" s="135"/>
      <c r="G191" s="95">
        <f>481+27</f>
        <v>508</v>
      </c>
      <c r="H191" s="134">
        <f>ROUND(G191/12,2)</f>
        <v>42.33</v>
      </c>
      <c r="I191" s="134">
        <f>H191*1.5</f>
        <v>63.494999999999997</v>
      </c>
      <c r="J191" s="135"/>
      <c r="K191" s="212">
        <v>46</v>
      </c>
      <c r="L191" s="134">
        <f>ROUND(K191/12,2)</f>
        <v>3.83</v>
      </c>
      <c r="M191" s="134">
        <f>L191*1.5</f>
        <v>5.7450000000000001</v>
      </c>
      <c r="N191" s="135"/>
      <c r="O191" s="115">
        <f t="shared" si="7"/>
        <v>1368</v>
      </c>
      <c r="P191" s="174">
        <f>ROUND(O191/24,2)</f>
        <v>57</v>
      </c>
      <c r="Q191" s="175">
        <f>P191*1.5</f>
        <v>85.5</v>
      </c>
      <c r="R191" s="176">
        <v>0</v>
      </c>
    </row>
    <row r="192" spans="1:18" x14ac:dyDescent="0.5">
      <c r="A192" s="56"/>
      <c r="B192" s="33" t="s">
        <v>43</v>
      </c>
      <c r="C192" s="95">
        <v>762</v>
      </c>
      <c r="D192" s="134">
        <f>ROUND(C192/12,2)</f>
        <v>63.5</v>
      </c>
      <c r="E192" s="134">
        <f>D192*1.5</f>
        <v>95.25</v>
      </c>
      <c r="F192" s="135"/>
      <c r="G192" s="95">
        <f>1137</f>
        <v>1137</v>
      </c>
      <c r="H192" s="134">
        <f>ROUND(G192/12,2)</f>
        <v>94.75</v>
      </c>
      <c r="I192" s="134">
        <f>H192*1.5</f>
        <v>142.125</v>
      </c>
      <c r="J192" s="135"/>
      <c r="K192" s="212"/>
      <c r="L192" s="134">
        <f>ROUND(K192/12,2)</f>
        <v>0</v>
      </c>
      <c r="M192" s="134">
        <f>L192*1.5</f>
        <v>0</v>
      </c>
      <c r="N192" s="135"/>
      <c r="O192" s="115">
        <f t="shared" si="7"/>
        <v>1899</v>
      </c>
      <c r="P192" s="174">
        <f>ROUND(O192/24,2)</f>
        <v>79.13</v>
      </c>
      <c r="Q192" s="175">
        <f>P192*1.5</f>
        <v>118.69499999999999</v>
      </c>
      <c r="R192" s="176">
        <v>0</v>
      </c>
    </row>
    <row r="193" spans="1:18" x14ac:dyDescent="0.5">
      <c r="A193" s="55" t="s">
        <v>78</v>
      </c>
      <c r="B193" s="33" t="s">
        <v>3</v>
      </c>
      <c r="C193" s="95">
        <f>2068+380</f>
        <v>2448</v>
      </c>
      <c r="D193" s="134">
        <f>ROUND(C193/18,2)</f>
        <v>136</v>
      </c>
      <c r="E193" s="134"/>
      <c r="F193" s="135">
        <f>SUM(D193,E194:E196)</f>
        <v>186.88</v>
      </c>
      <c r="G193" s="95">
        <f>2151+373</f>
        <v>2524</v>
      </c>
      <c r="H193" s="134">
        <f>ROUND(G193/18,2)</f>
        <v>140.22</v>
      </c>
      <c r="I193" s="134"/>
      <c r="J193" s="135">
        <f>SUM(H193,I194:I196)</f>
        <v>190.59</v>
      </c>
      <c r="K193" s="212">
        <v>62</v>
      </c>
      <c r="L193" s="134">
        <f>ROUND(K193/18,2)</f>
        <v>3.44</v>
      </c>
      <c r="M193" s="134"/>
      <c r="N193" s="135">
        <f>SUM(L193,M194:M196)</f>
        <v>6.1850000000000005</v>
      </c>
      <c r="O193" s="115">
        <f t="shared" si="7"/>
        <v>5034</v>
      </c>
      <c r="P193" s="174">
        <f>ROUND(O193/36,2)</f>
        <v>139.83000000000001</v>
      </c>
      <c r="Q193" s="175" t="s">
        <v>44</v>
      </c>
      <c r="R193" s="176">
        <f>SUM(P193,Q194:Q196)</f>
        <v>191.83500000000001</v>
      </c>
    </row>
    <row r="194" spans="1:18" x14ac:dyDescent="0.5">
      <c r="A194" s="56"/>
      <c r="B194" s="33" t="s">
        <v>76</v>
      </c>
      <c r="C194" s="95"/>
      <c r="D194" s="134">
        <f>ROUND(C194/12,2)</f>
        <v>0</v>
      </c>
      <c r="E194" s="134">
        <f>D194*1.5</f>
        <v>0</v>
      </c>
      <c r="F194" s="135"/>
      <c r="G194" s="95"/>
      <c r="H194" s="134">
        <f>ROUND(G194/12,2)</f>
        <v>0</v>
      </c>
      <c r="I194" s="134">
        <f>H194*1.5</f>
        <v>0</v>
      </c>
      <c r="J194" s="135"/>
      <c r="K194" s="194"/>
      <c r="L194" s="134">
        <f>ROUND(K194/12,2)</f>
        <v>0</v>
      </c>
      <c r="M194" s="134">
        <f>L194*1.5</f>
        <v>0</v>
      </c>
      <c r="N194" s="135"/>
      <c r="O194" s="115">
        <f t="shared" si="7"/>
        <v>0</v>
      </c>
      <c r="P194" s="174">
        <f>ROUND(O194/24,2)</f>
        <v>0</v>
      </c>
      <c r="Q194" s="175">
        <f>P194*1.5</f>
        <v>0</v>
      </c>
      <c r="R194" s="176">
        <v>0</v>
      </c>
    </row>
    <row r="195" spans="1:18" x14ac:dyDescent="0.5">
      <c r="A195" s="56"/>
      <c r="B195" s="33" t="s">
        <v>42</v>
      </c>
      <c r="C195" s="95">
        <f>271+19</f>
        <v>290</v>
      </c>
      <c r="D195" s="134">
        <f>ROUND(C195/12,2)</f>
        <v>24.17</v>
      </c>
      <c r="E195" s="134">
        <f>D195*1.5</f>
        <v>36.255000000000003</v>
      </c>
      <c r="F195" s="135"/>
      <c r="G195" s="95">
        <f>309+19</f>
        <v>328</v>
      </c>
      <c r="H195" s="134">
        <f>ROUND(G195/12,2)</f>
        <v>27.33</v>
      </c>
      <c r="I195" s="134">
        <f>H195*1.5</f>
        <v>40.994999999999997</v>
      </c>
      <c r="J195" s="135"/>
      <c r="K195" s="194">
        <v>22</v>
      </c>
      <c r="L195" s="134">
        <f>ROUND(K195/12,2)</f>
        <v>1.83</v>
      </c>
      <c r="M195" s="134">
        <f>L195*1.5</f>
        <v>2.7450000000000001</v>
      </c>
      <c r="N195" s="135"/>
      <c r="O195" s="115">
        <f t="shared" si="7"/>
        <v>640</v>
      </c>
      <c r="P195" s="174">
        <f>ROUND(O195/24,2)</f>
        <v>26.67</v>
      </c>
      <c r="Q195" s="175">
        <f>P195*1.5</f>
        <v>40.005000000000003</v>
      </c>
      <c r="R195" s="176">
        <v>0</v>
      </c>
    </row>
    <row r="196" spans="1:18" x14ac:dyDescent="0.5">
      <c r="A196" s="56"/>
      <c r="B196" s="33" t="s">
        <v>43</v>
      </c>
      <c r="C196" s="95">
        <v>117</v>
      </c>
      <c r="D196" s="134">
        <f>ROUND(C196/12,2)</f>
        <v>9.75</v>
      </c>
      <c r="E196" s="134">
        <f>D196*1.5</f>
        <v>14.625</v>
      </c>
      <c r="F196" s="135"/>
      <c r="G196" s="95">
        <v>75</v>
      </c>
      <c r="H196" s="134">
        <f>ROUND(G196/12,2)</f>
        <v>6.25</v>
      </c>
      <c r="I196" s="134">
        <f>H196*1.5</f>
        <v>9.375</v>
      </c>
      <c r="J196" s="135"/>
      <c r="K196" s="194"/>
      <c r="L196" s="134">
        <f>ROUND(K196/12,2)</f>
        <v>0</v>
      </c>
      <c r="M196" s="134">
        <f>L196*1.5</f>
        <v>0</v>
      </c>
      <c r="N196" s="135"/>
      <c r="O196" s="115">
        <f t="shared" si="7"/>
        <v>192</v>
      </c>
      <c r="P196" s="174">
        <f>ROUND(O196/24,2)</f>
        <v>8</v>
      </c>
      <c r="Q196" s="175">
        <f>P196*1.5</f>
        <v>12</v>
      </c>
      <c r="R196" s="176">
        <v>0</v>
      </c>
    </row>
    <row r="197" spans="1:18" x14ac:dyDescent="0.5">
      <c r="A197" s="55" t="s">
        <v>79</v>
      </c>
      <c r="B197" s="33" t="s">
        <v>3</v>
      </c>
      <c r="C197" s="95">
        <v>5771</v>
      </c>
      <c r="D197" s="134">
        <f>ROUND(C197/18,2)</f>
        <v>320.61</v>
      </c>
      <c r="E197" s="134"/>
      <c r="F197" s="135">
        <f>SUM(D197,E198:E200)</f>
        <v>345.85500000000002</v>
      </c>
      <c r="G197" s="95">
        <v>3775</v>
      </c>
      <c r="H197" s="134">
        <f>ROUND(G197/18,2)</f>
        <v>209.72</v>
      </c>
      <c r="I197" s="134"/>
      <c r="J197" s="135">
        <f>SUM(H197,I198:I200)</f>
        <v>262.34000000000003</v>
      </c>
      <c r="K197" s="194">
        <v>3</v>
      </c>
      <c r="L197" s="134">
        <f>ROUND(K197/18,2)</f>
        <v>0.17</v>
      </c>
      <c r="M197" s="134"/>
      <c r="N197" s="135">
        <f>SUM(L197,M198:M200)</f>
        <v>8.9149999999999991</v>
      </c>
      <c r="O197" s="115">
        <f t="shared" si="7"/>
        <v>9549</v>
      </c>
      <c r="P197" s="174">
        <f>ROUND(O197/36,2)</f>
        <v>265.25</v>
      </c>
      <c r="Q197" s="175" t="s">
        <v>44</v>
      </c>
      <c r="R197" s="176">
        <f>SUM(P197,Q198:Q200)</f>
        <v>308.57</v>
      </c>
    </row>
    <row r="198" spans="1:18" x14ac:dyDescent="0.5">
      <c r="A198" s="56"/>
      <c r="B198" s="33" t="s">
        <v>76</v>
      </c>
      <c r="C198" s="95"/>
      <c r="D198" s="134">
        <f>ROUND(C198/12,2)</f>
        <v>0</v>
      </c>
      <c r="E198" s="134">
        <f>D198*1.5</f>
        <v>0</v>
      </c>
      <c r="F198" s="135"/>
      <c r="G198" s="95"/>
      <c r="H198" s="134">
        <f>ROUND(G198/12,2)</f>
        <v>0</v>
      </c>
      <c r="I198" s="134">
        <f>H198*1.5</f>
        <v>0</v>
      </c>
      <c r="J198" s="135"/>
      <c r="K198" s="194"/>
      <c r="L198" s="134">
        <f>ROUND(K198/12,2)</f>
        <v>0</v>
      </c>
      <c r="M198" s="134">
        <f>L198*1.5</f>
        <v>0</v>
      </c>
      <c r="N198" s="135"/>
      <c r="O198" s="115">
        <f t="shared" si="7"/>
        <v>0</v>
      </c>
      <c r="P198" s="174">
        <f>ROUND(O198/24,2)</f>
        <v>0</v>
      </c>
      <c r="Q198" s="175">
        <f>P198*1.5</f>
        <v>0</v>
      </c>
      <c r="R198" s="176">
        <v>0</v>
      </c>
    </row>
    <row r="199" spans="1:18" x14ac:dyDescent="0.5">
      <c r="A199" s="56"/>
      <c r="B199" s="33" t="s">
        <v>42</v>
      </c>
      <c r="C199" s="95">
        <v>33</v>
      </c>
      <c r="D199" s="134">
        <f>ROUND(C199/12,2)</f>
        <v>2.75</v>
      </c>
      <c r="E199" s="134">
        <f>D199*1.5</f>
        <v>4.125</v>
      </c>
      <c r="F199" s="135"/>
      <c r="G199" s="95">
        <v>274</v>
      </c>
      <c r="H199" s="134">
        <f>ROUND(G199/12,2)</f>
        <v>22.83</v>
      </c>
      <c r="I199" s="134">
        <f>H199*1.5</f>
        <v>34.244999999999997</v>
      </c>
      <c r="J199" s="135"/>
      <c r="K199" s="194">
        <v>22</v>
      </c>
      <c r="L199" s="134">
        <f>ROUND(K199/12,2)</f>
        <v>1.83</v>
      </c>
      <c r="M199" s="134">
        <f>L199*1.5</f>
        <v>2.7450000000000001</v>
      </c>
      <c r="N199" s="135"/>
      <c r="O199" s="115">
        <f t="shared" si="7"/>
        <v>329</v>
      </c>
      <c r="P199" s="174">
        <f>ROUND(O199/24,2)</f>
        <v>13.71</v>
      </c>
      <c r="Q199" s="175">
        <f>P199*1.5</f>
        <v>20.565000000000001</v>
      </c>
      <c r="R199" s="176">
        <v>0</v>
      </c>
    </row>
    <row r="200" spans="1:18" x14ac:dyDescent="0.5">
      <c r="A200" s="56"/>
      <c r="B200" s="33" t="s">
        <v>43</v>
      </c>
      <c r="C200" s="95">
        <v>169</v>
      </c>
      <c r="D200" s="134">
        <f>ROUND(C200/12,2)</f>
        <v>14.08</v>
      </c>
      <c r="E200" s="134">
        <f>D200*1.5</f>
        <v>21.12</v>
      </c>
      <c r="F200" s="135"/>
      <c r="G200" s="95">
        <v>147</v>
      </c>
      <c r="H200" s="134">
        <f>ROUND(G200/12,2)</f>
        <v>12.25</v>
      </c>
      <c r="I200" s="134">
        <f>H200*1.5</f>
        <v>18.375</v>
      </c>
      <c r="J200" s="135"/>
      <c r="K200" s="194">
        <v>48</v>
      </c>
      <c r="L200" s="134">
        <f>ROUND(K200/12,2)</f>
        <v>4</v>
      </c>
      <c r="M200" s="134">
        <f>L200*1.5</f>
        <v>6</v>
      </c>
      <c r="N200" s="135"/>
      <c r="O200" s="115">
        <f t="shared" si="7"/>
        <v>364</v>
      </c>
      <c r="P200" s="174">
        <f>ROUND(O200/24,2)</f>
        <v>15.17</v>
      </c>
      <c r="Q200" s="175">
        <f>P200*1.5</f>
        <v>22.754999999999999</v>
      </c>
      <c r="R200" s="176">
        <v>0</v>
      </c>
    </row>
    <row r="201" spans="1:18" x14ac:dyDescent="0.5">
      <c r="A201" s="55" t="s">
        <v>108</v>
      </c>
      <c r="B201" s="33" t="s">
        <v>3</v>
      </c>
      <c r="C201" s="95">
        <f>370+296</f>
        <v>666</v>
      </c>
      <c r="D201" s="134">
        <f>ROUND(C201/18,2)</f>
        <v>37</v>
      </c>
      <c r="E201" s="134"/>
      <c r="F201" s="135">
        <f>SUM(D201,E202:E204)</f>
        <v>97.375</v>
      </c>
      <c r="G201" s="95">
        <f>902+290</f>
        <v>1192</v>
      </c>
      <c r="H201" s="134">
        <f>ROUND(G201/18,2)</f>
        <v>66.22</v>
      </c>
      <c r="I201" s="134"/>
      <c r="J201" s="135">
        <f>SUM(H201,I202:I204)</f>
        <v>154.22499999999999</v>
      </c>
      <c r="K201" s="212">
        <f>14</f>
        <v>14</v>
      </c>
      <c r="L201" s="134">
        <f>ROUND(K201/18,2)</f>
        <v>0.78</v>
      </c>
      <c r="M201" s="134"/>
      <c r="N201" s="135">
        <f>SUM(L201,M202:M204)</f>
        <v>5.0250000000000004</v>
      </c>
      <c r="O201" s="115">
        <f t="shared" si="7"/>
        <v>1872</v>
      </c>
      <c r="P201" s="174">
        <f>ROUND(O201/36,2)</f>
        <v>52</v>
      </c>
      <c r="Q201" s="175" t="s">
        <v>44</v>
      </c>
      <c r="R201" s="176">
        <f>SUM(P201,Q202:Q204)</f>
        <v>128.32</v>
      </c>
    </row>
    <row r="202" spans="1:18" x14ac:dyDescent="0.5">
      <c r="A202" s="56"/>
      <c r="B202" s="33" t="s">
        <v>76</v>
      </c>
      <c r="C202" s="95"/>
      <c r="D202" s="134">
        <f>ROUND(C202/12,2)</f>
        <v>0</v>
      </c>
      <c r="E202" s="134">
        <f>D202*1.5</f>
        <v>0</v>
      </c>
      <c r="F202" s="135"/>
      <c r="G202" s="95"/>
      <c r="H202" s="134">
        <f>ROUND(G202/12,2)</f>
        <v>0</v>
      </c>
      <c r="I202" s="134">
        <f>H202*1.5</f>
        <v>0</v>
      </c>
      <c r="J202" s="135"/>
      <c r="K202" s="194"/>
      <c r="L202" s="134">
        <f>ROUND(K202/12,2)</f>
        <v>0</v>
      </c>
      <c r="M202" s="134">
        <f>L202*1.5</f>
        <v>0</v>
      </c>
      <c r="N202" s="135"/>
      <c r="O202" s="115">
        <f t="shared" si="7"/>
        <v>0</v>
      </c>
      <c r="P202" s="174">
        <f>ROUND(O202/24,2)</f>
        <v>0</v>
      </c>
      <c r="Q202" s="175">
        <f>P202*1.5</f>
        <v>0</v>
      </c>
      <c r="R202" s="176">
        <v>0</v>
      </c>
    </row>
    <row r="203" spans="1:18" x14ac:dyDescent="0.5">
      <c r="A203" s="56"/>
      <c r="B203" s="33" t="s">
        <v>42</v>
      </c>
      <c r="C203" s="95">
        <f>48+15</f>
        <v>63</v>
      </c>
      <c r="D203" s="134">
        <f>ROUND(C203/12,2)</f>
        <v>5.25</v>
      </c>
      <c r="E203" s="134">
        <f>D203*1.5</f>
        <v>7.875</v>
      </c>
      <c r="F203" s="135"/>
      <c r="G203" s="95">
        <f>122+15</f>
        <v>137</v>
      </c>
      <c r="H203" s="134">
        <f>ROUND(G203/12,2)</f>
        <v>11.42</v>
      </c>
      <c r="I203" s="134">
        <f>H203*1.5</f>
        <v>17.13</v>
      </c>
      <c r="J203" s="135"/>
      <c r="K203" s="194">
        <v>22</v>
      </c>
      <c r="L203" s="134">
        <f>ROUND(K203/12,2)</f>
        <v>1.83</v>
      </c>
      <c r="M203" s="134">
        <f>L203*1.5</f>
        <v>2.7450000000000001</v>
      </c>
      <c r="N203" s="135"/>
      <c r="O203" s="115">
        <f t="shared" si="7"/>
        <v>222</v>
      </c>
      <c r="P203" s="174">
        <f>ROUND(O203/24,2)</f>
        <v>9.25</v>
      </c>
      <c r="Q203" s="175">
        <f>P203*1.5</f>
        <v>13.875</v>
      </c>
      <c r="R203" s="176">
        <v>0</v>
      </c>
    </row>
    <row r="204" spans="1:18" x14ac:dyDescent="0.5">
      <c r="A204" s="56"/>
      <c r="B204" s="33" t="s">
        <v>43</v>
      </c>
      <c r="C204" s="95">
        <v>420</v>
      </c>
      <c r="D204" s="134">
        <f>ROUND(C204/12,2)</f>
        <v>35</v>
      </c>
      <c r="E204" s="134">
        <f>D204*1.5</f>
        <v>52.5</v>
      </c>
      <c r="F204" s="135"/>
      <c r="G204" s="95">
        <v>567</v>
      </c>
      <c r="H204" s="134">
        <f>ROUND(G204/12,2)</f>
        <v>47.25</v>
      </c>
      <c r="I204" s="134">
        <f>H204*1.5</f>
        <v>70.875</v>
      </c>
      <c r="J204" s="135"/>
      <c r="K204" s="212">
        <v>12</v>
      </c>
      <c r="L204" s="134">
        <f>ROUND(K204/12,2)</f>
        <v>1</v>
      </c>
      <c r="M204" s="134">
        <f>L204*1.5</f>
        <v>1.5</v>
      </c>
      <c r="N204" s="135"/>
      <c r="O204" s="115">
        <f t="shared" si="7"/>
        <v>999</v>
      </c>
      <c r="P204" s="174">
        <f>ROUND(O204/24,2)</f>
        <v>41.63</v>
      </c>
      <c r="Q204" s="175">
        <f>P204*1.5</f>
        <v>62.445000000000007</v>
      </c>
      <c r="R204" s="176">
        <v>0</v>
      </c>
    </row>
    <row r="205" spans="1:18" x14ac:dyDescent="0.5">
      <c r="A205" s="55" t="s">
        <v>109</v>
      </c>
      <c r="B205" s="33" t="s">
        <v>3</v>
      </c>
      <c r="C205" s="95">
        <v>127</v>
      </c>
      <c r="D205" s="134">
        <f>ROUND(C205/18,2)</f>
        <v>7.06</v>
      </c>
      <c r="E205" s="134"/>
      <c r="F205" s="135">
        <f>SUM(D205,E206:E208)</f>
        <v>14.934999999999999</v>
      </c>
      <c r="G205" s="95">
        <f>321+124</f>
        <v>445</v>
      </c>
      <c r="H205" s="134">
        <f>ROUND(G205/18,2)</f>
        <v>24.72</v>
      </c>
      <c r="I205" s="134"/>
      <c r="J205" s="135">
        <f>SUM(H205,I206:I208)</f>
        <v>39.72</v>
      </c>
      <c r="K205" s="212"/>
      <c r="L205" s="134">
        <f>ROUND(K205/18,2)</f>
        <v>0</v>
      </c>
      <c r="M205" s="134"/>
      <c r="N205" s="135">
        <f>SUM(L205,M206:M208)</f>
        <v>0</v>
      </c>
      <c r="O205" s="115">
        <f t="shared" si="7"/>
        <v>572</v>
      </c>
      <c r="P205" s="174">
        <f>ROUND(O205/36,2)</f>
        <v>15.89</v>
      </c>
      <c r="Q205" s="175" t="s">
        <v>44</v>
      </c>
      <c r="R205" s="176">
        <f>SUM(P205,Q206:Q208)</f>
        <v>27.335000000000001</v>
      </c>
    </row>
    <row r="206" spans="1:18" x14ac:dyDescent="0.5">
      <c r="A206" s="56" t="s">
        <v>80</v>
      </c>
      <c r="B206" s="33" t="s">
        <v>76</v>
      </c>
      <c r="C206" s="95"/>
      <c r="D206" s="134">
        <f>ROUND(C206/12,2)</f>
        <v>0</v>
      </c>
      <c r="E206" s="134">
        <f>D206*1.5</f>
        <v>0</v>
      </c>
      <c r="F206" s="135"/>
      <c r="G206" s="95"/>
      <c r="H206" s="134">
        <f>ROUND(G206/12,2)</f>
        <v>0</v>
      </c>
      <c r="I206" s="134">
        <f>H206*1.5</f>
        <v>0</v>
      </c>
      <c r="J206" s="135"/>
      <c r="K206" s="194"/>
      <c r="L206" s="134">
        <f>ROUND(K206/12,2)</f>
        <v>0</v>
      </c>
      <c r="M206" s="134">
        <f>L206*1.5</f>
        <v>0</v>
      </c>
      <c r="N206" s="135"/>
      <c r="O206" s="115">
        <f t="shared" si="7"/>
        <v>0</v>
      </c>
      <c r="P206" s="174">
        <f>ROUND(O206/24,2)</f>
        <v>0</v>
      </c>
      <c r="Q206" s="175">
        <f>P206*1.5</f>
        <v>0</v>
      </c>
      <c r="R206" s="176">
        <v>0</v>
      </c>
    </row>
    <row r="207" spans="1:18" x14ac:dyDescent="0.5">
      <c r="A207" s="56"/>
      <c r="B207" s="33" t="s">
        <v>42</v>
      </c>
      <c r="C207" s="95">
        <v>6</v>
      </c>
      <c r="D207" s="134">
        <f>ROUND(C207/12,2)</f>
        <v>0.5</v>
      </c>
      <c r="E207" s="134">
        <f>D207*1.5</f>
        <v>0.75</v>
      </c>
      <c r="F207" s="135"/>
      <c r="G207" s="95">
        <v>6</v>
      </c>
      <c r="H207" s="134">
        <f>ROUND(G207/12,2)</f>
        <v>0.5</v>
      </c>
      <c r="I207" s="134">
        <f>H207*1.5</f>
        <v>0.75</v>
      </c>
      <c r="J207" s="135"/>
      <c r="K207" s="212"/>
      <c r="L207" s="134">
        <f>ROUND(K207/12,2)</f>
        <v>0</v>
      </c>
      <c r="M207" s="134">
        <f>L207*1.5</f>
        <v>0</v>
      </c>
      <c r="N207" s="135"/>
      <c r="O207" s="115">
        <f t="shared" si="7"/>
        <v>12</v>
      </c>
      <c r="P207" s="174">
        <f>ROUND(O207/24,2)</f>
        <v>0.5</v>
      </c>
      <c r="Q207" s="175">
        <f>P207*1.5</f>
        <v>0.75</v>
      </c>
      <c r="R207" s="176">
        <v>0</v>
      </c>
    </row>
    <row r="208" spans="1:18" x14ac:dyDescent="0.5">
      <c r="A208" s="56"/>
      <c r="B208" s="33" t="s">
        <v>43</v>
      </c>
      <c r="C208" s="95">
        <v>57</v>
      </c>
      <c r="D208" s="134">
        <f>ROUND(C208/12,2)</f>
        <v>4.75</v>
      </c>
      <c r="E208" s="134">
        <f>D208*1.5</f>
        <v>7.125</v>
      </c>
      <c r="F208" s="135"/>
      <c r="G208" s="95">
        <v>114</v>
      </c>
      <c r="H208" s="134">
        <f>ROUND(G208/12,2)</f>
        <v>9.5</v>
      </c>
      <c r="I208" s="134">
        <f>H208*1.5</f>
        <v>14.25</v>
      </c>
      <c r="J208" s="135"/>
      <c r="K208" s="212"/>
      <c r="L208" s="134">
        <f>ROUND(K208/12,2)</f>
        <v>0</v>
      </c>
      <c r="M208" s="134">
        <f>L208*1.5</f>
        <v>0</v>
      </c>
      <c r="N208" s="135"/>
      <c r="O208" s="115">
        <f t="shared" si="7"/>
        <v>171</v>
      </c>
      <c r="P208" s="174">
        <f>ROUND(O208/24,2)</f>
        <v>7.13</v>
      </c>
      <c r="Q208" s="175">
        <f>P208*1.5</f>
        <v>10.695</v>
      </c>
      <c r="R208" s="176">
        <v>0</v>
      </c>
    </row>
    <row r="209" spans="1:18" x14ac:dyDescent="0.5">
      <c r="A209" s="55" t="s">
        <v>41</v>
      </c>
      <c r="B209" s="33" t="s">
        <v>3</v>
      </c>
      <c r="C209" s="95">
        <f>2306+84</f>
        <v>2390</v>
      </c>
      <c r="D209" s="134">
        <f>ROUND(C209/18,2)</f>
        <v>132.78</v>
      </c>
      <c r="E209" s="134"/>
      <c r="F209" s="135">
        <f>SUM(D209,E210:E212)</f>
        <v>133.27500000000001</v>
      </c>
      <c r="G209" s="95">
        <f>2469+41</f>
        <v>2510</v>
      </c>
      <c r="H209" s="134">
        <f>ROUND(G209/18,2)</f>
        <v>139.44</v>
      </c>
      <c r="I209" s="134"/>
      <c r="J209" s="135">
        <f>SUM(H209,I210:I212)</f>
        <v>139.69499999999999</v>
      </c>
      <c r="K209" s="212">
        <f>20+96</f>
        <v>116</v>
      </c>
      <c r="L209" s="134">
        <f>ROUND(K209/18,2)</f>
        <v>6.44</v>
      </c>
      <c r="M209" s="134"/>
      <c r="N209" s="135">
        <f>SUM(L209,M210:M212)</f>
        <v>6.44</v>
      </c>
      <c r="O209" s="115">
        <f t="shared" si="7"/>
        <v>5016</v>
      </c>
      <c r="P209" s="174">
        <f>ROUND(O209/36,2)</f>
        <v>139.33000000000001</v>
      </c>
      <c r="Q209" s="175" t="s">
        <v>44</v>
      </c>
      <c r="R209" s="176">
        <f>SUM(P209,Q210:Q212)</f>
        <v>139.70500000000001</v>
      </c>
    </row>
    <row r="210" spans="1:18" x14ac:dyDescent="0.5">
      <c r="A210" s="56"/>
      <c r="B210" s="33" t="s">
        <v>76</v>
      </c>
      <c r="C210" s="95"/>
      <c r="D210" s="134">
        <f>ROUND(C210/12,2)</f>
        <v>0</v>
      </c>
      <c r="E210" s="134">
        <f>D210*1.5</f>
        <v>0</v>
      </c>
      <c r="F210" s="135"/>
      <c r="G210" s="95"/>
      <c r="H210" s="134">
        <f>ROUND(G210/12,2)</f>
        <v>0</v>
      </c>
      <c r="I210" s="134">
        <f>H210*1.5</f>
        <v>0</v>
      </c>
      <c r="J210" s="135"/>
      <c r="K210" s="95"/>
      <c r="L210" s="134">
        <f>ROUND(K210/12,2)</f>
        <v>0</v>
      </c>
      <c r="M210" s="134">
        <f>L210*1.5</f>
        <v>0</v>
      </c>
      <c r="N210" s="135"/>
      <c r="O210" s="115">
        <f t="shared" si="7"/>
        <v>0</v>
      </c>
      <c r="P210" s="174">
        <f>ROUND(O210/24,2)</f>
        <v>0</v>
      </c>
      <c r="Q210" s="175">
        <f>P210*1.5</f>
        <v>0</v>
      </c>
      <c r="R210" s="176">
        <v>0</v>
      </c>
    </row>
    <row r="211" spans="1:18" x14ac:dyDescent="0.5">
      <c r="A211" s="56"/>
      <c r="B211" s="33" t="s">
        <v>42</v>
      </c>
      <c r="C211" s="95">
        <v>4</v>
      </c>
      <c r="D211" s="134">
        <f>ROUND(C211/12,2)</f>
        <v>0.33</v>
      </c>
      <c r="E211" s="134">
        <f>D211*1.5</f>
        <v>0.495</v>
      </c>
      <c r="F211" s="135"/>
      <c r="G211" s="95">
        <v>2</v>
      </c>
      <c r="H211" s="134">
        <f>ROUND(G211/12,2)</f>
        <v>0.17</v>
      </c>
      <c r="I211" s="134">
        <f>H211*1.5</f>
        <v>0.255</v>
      </c>
      <c r="J211" s="135"/>
      <c r="K211" s="106"/>
      <c r="L211" s="134">
        <f>ROUND(K211/12,2)</f>
        <v>0</v>
      </c>
      <c r="M211" s="134">
        <f>L211*1.5</f>
        <v>0</v>
      </c>
      <c r="N211" s="135"/>
      <c r="O211" s="115">
        <f t="shared" si="7"/>
        <v>6</v>
      </c>
      <c r="P211" s="174">
        <f>ROUND(O211/24,2)</f>
        <v>0.25</v>
      </c>
      <c r="Q211" s="175">
        <f>P211*1.5</f>
        <v>0.375</v>
      </c>
      <c r="R211" s="176">
        <v>0</v>
      </c>
    </row>
    <row r="212" spans="1:18" x14ac:dyDescent="0.5">
      <c r="A212" s="56"/>
      <c r="B212" s="33" t="s">
        <v>43</v>
      </c>
      <c r="C212" s="95"/>
      <c r="D212" s="134">
        <f>ROUND(C212/12,2)</f>
        <v>0</v>
      </c>
      <c r="E212" s="134">
        <f>D212*1.5</f>
        <v>0</v>
      </c>
      <c r="F212" s="135"/>
      <c r="G212" s="95"/>
      <c r="H212" s="134">
        <f>ROUND(G212/12,2)</f>
        <v>0</v>
      </c>
      <c r="I212" s="134">
        <f>H212*1.5</f>
        <v>0</v>
      </c>
      <c r="J212" s="135"/>
      <c r="K212" s="106"/>
      <c r="L212" s="134">
        <f>ROUND(K212/12,2)</f>
        <v>0</v>
      </c>
      <c r="M212" s="134">
        <f>L212*1.5</f>
        <v>0</v>
      </c>
      <c r="N212" s="135"/>
      <c r="O212" s="115">
        <f t="shared" si="7"/>
        <v>0</v>
      </c>
      <c r="P212" s="174">
        <f>ROUND(O212/24,2)</f>
        <v>0</v>
      </c>
      <c r="Q212" s="175">
        <f>P212*1.5</f>
        <v>0</v>
      </c>
      <c r="R212" s="176">
        <v>0</v>
      </c>
    </row>
    <row r="213" spans="1:18" x14ac:dyDescent="0.5">
      <c r="A213" s="63" t="s">
        <v>56</v>
      </c>
      <c r="B213" s="38" t="s">
        <v>3</v>
      </c>
      <c r="C213" s="78">
        <f>SUM(C185,C189,C193,C197,C201,C205,C209)</f>
        <v>29703</v>
      </c>
      <c r="D213" s="140">
        <f>ROUND(C213/18,2)</f>
        <v>1650.17</v>
      </c>
      <c r="E213" s="140" t="s">
        <v>44</v>
      </c>
      <c r="F213" s="141">
        <f>SUM(D213,E214:E216)</f>
        <v>2193.665</v>
      </c>
      <c r="G213" s="78">
        <f>SUM(G185,G189,G193,G197,G201,G205,G209)</f>
        <v>26323</v>
      </c>
      <c r="H213" s="140">
        <f>ROUND(G213/18,2)</f>
        <v>1462.39</v>
      </c>
      <c r="I213" s="140" t="s">
        <v>44</v>
      </c>
      <c r="J213" s="141">
        <f>SUM(H213,I214:I216)</f>
        <v>1982.1399999999999</v>
      </c>
      <c r="K213" s="78">
        <f>SUM(K185,K189,K193,K197,K201,K205,K209)</f>
        <v>881</v>
      </c>
      <c r="L213" s="140">
        <f>ROUND(K213/18,2)</f>
        <v>48.94</v>
      </c>
      <c r="M213" s="140" t="s">
        <v>44</v>
      </c>
      <c r="N213" s="141">
        <f>SUM(L213,M214:M216)</f>
        <v>74.694999999999993</v>
      </c>
      <c r="O213" s="120">
        <f t="shared" si="7"/>
        <v>56907</v>
      </c>
      <c r="P213" s="184">
        <f>ROUND(O213/36,2)</f>
        <v>1580.75</v>
      </c>
      <c r="Q213" s="185" t="s">
        <v>44</v>
      </c>
      <c r="R213" s="176">
        <f>SUM(P213,Q214:Q216)</f>
        <v>2125.25</v>
      </c>
    </row>
    <row r="214" spans="1:18" x14ac:dyDescent="0.5">
      <c r="A214" s="68"/>
      <c r="B214" s="38" t="s">
        <v>76</v>
      </c>
      <c r="C214" s="78">
        <f>SUM(C186,C190,C194,C198,C202,C206,C210)</f>
        <v>0</v>
      </c>
      <c r="D214" s="140">
        <f>ROUND(C214/12,2)</f>
        <v>0</v>
      </c>
      <c r="E214" s="140">
        <f>D214*1.5</f>
        <v>0</v>
      </c>
      <c r="F214" s="141">
        <v>0</v>
      </c>
      <c r="G214" s="78">
        <f>SUM(G186,G190,G194,G198,G202,G206,G210)</f>
        <v>0</v>
      </c>
      <c r="H214" s="140">
        <f>ROUND(G214/12,2)</f>
        <v>0</v>
      </c>
      <c r="I214" s="140">
        <f>H214*1.5</f>
        <v>0</v>
      </c>
      <c r="J214" s="141">
        <v>0</v>
      </c>
      <c r="K214" s="78">
        <f>SUM(K186,K190,K194,K198,K202,K206,K210)</f>
        <v>0</v>
      </c>
      <c r="L214" s="140">
        <f>ROUND(K214/12,2)</f>
        <v>0</v>
      </c>
      <c r="M214" s="140">
        <f>L214*1.5</f>
        <v>0</v>
      </c>
      <c r="N214" s="141">
        <v>0</v>
      </c>
      <c r="O214" s="120">
        <f t="shared" si="7"/>
        <v>0</v>
      </c>
      <c r="P214" s="184">
        <f>ROUND(O214/24,2)</f>
        <v>0</v>
      </c>
      <c r="Q214" s="185">
        <f>P214*1.5</f>
        <v>0</v>
      </c>
      <c r="R214" s="176">
        <v>0</v>
      </c>
    </row>
    <row r="215" spans="1:18" x14ac:dyDescent="0.5">
      <c r="A215" s="56"/>
      <c r="B215" s="38" t="s">
        <v>42</v>
      </c>
      <c r="C215" s="78">
        <f>SUM(C187,C191,C195,C199,C203,C207,C211)</f>
        <v>2292</v>
      </c>
      <c r="D215" s="140">
        <f>ROUND(C215/12,2)</f>
        <v>191</v>
      </c>
      <c r="E215" s="140">
        <f>D215*1.5</f>
        <v>286.5</v>
      </c>
      <c r="F215" s="141">
        <v>0</v>
      </c>
      <c r="G215" s="78">
        <f>SUM(G187,G191,G195,G199,G203,G207,G211)</f>
        <v>1976</v>
      </c>
      <c r="H215" s="140">
        <f>ROUND(G215/12,2)</f>
        <v>164.67</v>
      </c>
      <c r="I215" s="140">
        <f>H215*1.5</f>
        <v>247.005</v>
      </c>
      <c r="J215" s="141">
        <v>0</v>
      </c>
      <c r="K215" s="78">
        <f>SUM(K187,K191,K195,K199,K203,K207,K211)</f>
        <v>146</v>
      </c>
      <c r="L215" s="140">
        <f>ROUND(K215/12,2)</f>
        <v>12.17</v>
      </c>
      <c r="M215" s="140">
        <f>L215*1.5</f>
        <v>18.254999999999999</v>
      </c>
      <c r="N215" s="141">
        <v>0</v>
      </c>
      <c r="O215" s="120">
        <f t="shared" si="7"/>
        <v>4414</v>
      </c>
      <c r="P215" s="184">
        <f>ROUND(O215/24,2)</f>
        <v>183.92</v>
      </c>
      <c r="Q215" s="185">
        <f>P215*1.5</f>
        <v>275.88</v>
      </c>
      <c r="R215" s="176">
        <v>0</v>
      </c>
    </row>
    <row r="216" spans="1:18" ht="22.5" thickBot="1" x14ac:dyDescent="0.55000000000000004">
      <c r="A216" s="57"/>
      <c r="B216" s="39" t="s">
        <v>43</v>
      </c>
      <c r="C216" s="79">
        <f>SUM(C188,C192,C196,C200,C204,C208,C212)</f>
        <v>2056</v>
      </c>
      <c r="D216" s="142">
        <f>ROUND(C216/12,2)</f>
        <v>171.33</v>
      </c>
      <c r="E216" s="142">
        <f>D216*1.5</f>
        <v>256.995</v>
      </c>
      <c r="F216" s="143">
        <v>0</v>
      </c>
      <c r="G216" s="79">
        <f>SUM(G188,G192,G196,G200,G204,G208,G212)</f>
        <v>2182</v>
      </c>
      <c r="H216" s="142">
        <f>ROUND(G216/12,2)</f>
        <v>181.83</v>
      </c>
      <c r="I216" s="142">
        <f>H216*1.5</f>
        <v>272.745</v>
      </c>
      <c r="J216" s="143">
        <v>0</v>
      </c>
      <c r="K216" s="79">
        <f>SUM(K188,K192,K196,K200,K204,K208,K212)</f>
        <v>60</v>
      </c>
      <c r="L216" s="142">
        <f>ROUND(K216/12,2)</f>
        <v>5</v>
      </c>
      <c r="M216" s="142">
        <f>L216*1.5</f>
        <v>7.5</v>
      </c>
      <c r="N216" s="143">
        <v>0</v>
      </c>
      <c r="O216" s="121">
        <f t="shared" si="7"/>
        <v>4298</v>
      </c>
      <c r="P216" s="186">
        <f>ROUND(O216/24,2)</f>
        <v>179.08</v>
      </c>
      <c r="Q216" s="187">
        <f>P216*1.5</f>
        <v>268.62</v>
      </c>
      <c r="R216" s="179">
        <v>0</v>
      </c>
    </row>
    <row r="217" spans="1:18" x14ac:dyDescent="0.5">
      <c r="A217" s="58" t="s">
        <v>19</v>
      </c>
      <c r="B217" s="36"/>
      <c r="C217" s="97"/>
      <c r="D217" s="138"/>
      <c r="E217" s="138"/>
      <c r="F217" s="139"/>
      <c r="G217" s="97"/>
      <c r="H217" s="138"/>
      <c r="I217" s="168"/>
      <c r="J217" s="139"/>
      <c r="K217" s="111"/>
      <c r="L217" s="138"/>
      <c r="M217" s="168"/>
      <c r="N217" s="139"/>
      <c r="O217" s="124"/>
      <c r="P217" s="183"/>
      <c r="Q217" s="183"/>
      <c r="R217" s="182"/>
    </row>
    <row r="218" spans="1:18" x14ac:dyDescent="0.5">
      <c r="A218" s="55" t="s">
        <v>41</v>
      </c>
      <c r="B218" s="33" t="s">
        <v>3</v>
      </c>
      <c r="C218" s="95">
        <f>6845+2706</f>
        <v>9551</v>
      </c>
      <c r="D218" s="134">
        <f>ROUND(C218/18,2)</f>
        <v>530.61</v>
      </c>
      <c r="E218" s="134"/>
      <c r="F218" s="135">
        <f>SUM(D218,E219:E220)</f>
        <v>531.28</v>
      </c>
      <c r="G218" s="95">
        <f>6093+3670+120</f>
        <v>9883</v>
      </c>
      <c r="H218" s="134">
        <f>ROUND(G218/18,2)</f>
        <v>549.05999999999995</v>
      </c>
      <c r="I218" s="134"/>
      <c r="J218" s="135">
        <f>SUM(H218,I219:I220)</f>
        <v>549.55999999999995</v>
      </c>
      <c r="K218" s="95">
        <f>546</f>
        <v>546</v>
      </c>
      <c r="L218" s="134">
        <f>ROUND(K218/18,2)</f>
        <v>30.33</v>
      </c>
      <c r="M218" s="134"/>
      <c r="N218" s="135">
        <f>SUM(L218,M219:M220)</f>
        <v>30.33</v>
      </c>
      <c r="O218" s="115">
        <f>SUM(C218,G218,K218)</f>
        <v>19980</v>
      </c>
      <c r="P218" s="174">
        <f>ROUND(O218/36,2)</f>
        <v>555</v>
      </c>
      <c r="Q218" s="175" t="s">
        <v>44</v>
      </c>
      <c r="R218" s="176">
        <f>SUM(P218,Q219:Q220)</f>
        <v>555.58000000000004</v>
      </c>
    </row>
    <row r="219" spans="1:18" x14ac:dyDescent="0.5">
      <c r="A219" s="56"/>
      <c r="B219" s="33" t="s">
        <v>42</v>
      </c>
      <c r="C219" s="95">
        <f>8</f>
        <v>8</v>
      </c>
      <c r="D219" s="134">
        <f>ROUND(C219/12,2)</f>
        <v>0.67</v>
      </c>
      <c r="E219" s="134">
        <f>D219*1</f>
        <v>0.67</v>
      </c>
      <c r="F219" s="135"/>
      <c r="G219" s="95">
        <f>6</f>
        <v>6</v>
      </c>
      <c r="H219" s="134">
        <f>ROUND(G219/12,2)</f>
        <v>0.5</v>
      </c>
      <c r="I219" s="134">
        <f>H219*1</f>
        <v>0.5</v>
      </c>
      <c r="J219" s="135"/>
      <c r="K219" s="95"/>
      <c r="L219" s="134">
        <f>ROUND(K219/12,2)</f>
        <v>0</v>
      </c>
      <c r="M219" s="134">
        <f>L219*1</f>
        <v>0</v>
      </c>
      <c r="N219" s="135"/>
      <c r="O219" s="119">
        <f>SUM(C219,G219,K219)</f>
        <v>14</v>
      </c>
      <c r="P219" s="175">
        <f>ROUND(O219/24,2)</f>
        <v>0.57999999999999996</v>
      </c>
      <c r="Q219" s="175">
        <f>P219*1</f>
        <v>0.57999999999999996</v>
      </c>
      <c r="R219" s="176">
        <v>0</v>
      </c>
    </row>
    <row r="220" spans="1:18" ht="22.5" thickBot="1" x14ac:dyDescent="0.55000000000000004">
      <c r="A220" s="57"/>
      <c r="B220" s="34" t="s">
        <v>43</v>
      </c>
      <c r="C220" s="96"/>
      <c r="D220" s="136">
        <f>ROUND(C220/12,2)</f>
        <v>0</v>
      </c>
      <c r="E220" s="136">
        <f>D220*1</f>
        <v>0</v>
      </c>
      <c r="F220" s="137"/>
      <c r="G220" s="96"/>
      <c r="H220" s="136">
        <f>ROUND(G220/12,2)</f>
        <v>0</v>
      </c>
      <c r="I220" s="136">
        <f>H220*1</f>
        <v>0</v>
      </c>
      <c r="J220" s="137"/>
      <c r="K220" s="96"/>
      <c r="L220" s="136">
        <f>ROUND(K220/12,2)</f>
        <v>0</v>
      </c>
      <c r="M220" s="136">
        <f>L220*1</f>
        <v>0</v>
      </c>
      <c r="N220" s="137"/>
      <c r="O220" s="125">
        <f>SUM(C220,G220,K220)</f>
        <v>0</v>
      </c>
      <c r="P220" s="178">
        <f>ROUND(O220/24,2)</f>
        <v>0</v>
      </c>
      <c r="Q220" s="178">
        <f>P220*1</f>
        <v>0</v>
      </c>
      <c r="R220" s="179">
        <v>0</v>
      </c>
    </row>
    <row r="221" spans="1:18" x14ac:dyDescent="0.5">
      <c r="A221" s="58" t="s">
        <v>20</v>
      </c>
      <c r="B221" s="36"/>
      <c r="C221" s="97"/>
      <c r="D221" s="138"/>
      <c r="E221" s="138"/>
      <c r="F221" s="139"/>
      <c r="G221" s="97"/>
      <c r="H221" s="138"/>
      <c r="I221" s="168"/>
      <c r="J221" s="139"/>
      <c r="K221" s="108"/>
      <c r="L221" s="138"/>
      <c r="M221" s="138"/>
      <c r="N221" s="139"/>
      <c r="O221" s="118"/>
      <c r="P221" s="183"/>
      <c r="Q221" s="181"/>
      <c r="R221" s="182"/>
    </row>
    <row r="222" spans="1:18" x14ac:dyDescent="0.5">
      <c r="A222" s="55" t="s">
        <v>81</v>
      </c>
      <c r="B222" s="33" t="s">
        <v>3</v>
      </c>
      <c r="C222" s="95">
        <f>3974</f>
        <v>3974</v>
      </c>
      <c r="D222" s="134">
        <f>ROUND(C222/18,2)</f>
        <v>220.78</v>
      </c>
      <c r="E222" s="134"/>
      <c r="F222" s="135">
        <f>SUM(D222,E223:E224)</f>
        <v>220.78</v>
      </c>
      <c r="G222" s="95">
        <f>4400</f>
        <v>4400</v>
      </c>
      <c r="H222" s="134">
        <f>ROUND(G222/18,2)</f>
        <v>244.44</v>
      </c>
      <c r="I222" s="134"/>
      <c r="J222" s="135">
        <f>SUM(H222,I223:I224)</f>
        <v>244.44</v>
      </c>
      <c r="K222" s="95">
        <f>629</f>
        <v>629</v>
      </c>
      <c r="L222" s="134">
        <f>ROUND(K222/18,2)</f>
        <v>34.94</v>
      </c>
      <c r="M222" s="134"/>
      <c r="N222" s="135">
        <f>SUM(L222,M223:M224)</f>
        <v>34.94</v>
      </c>
      <c r="O222" s="115">
        <f t="shared" ref="O222:O239" si="8">SUM(C222,G222,K222)</f>
        <v>9003</v>
      </c>
      <c r="P222" s="174">
        <f>ROUND(O222/36,2)</f>
        <v>250.08</v>
      </c>
      <c r="Q222" s="175" t="s">
        <v>44</v>
      </c>
      <c r="R222" s="176">
        <f>SUM(P222,Q223:Q224)</f>
        <v>250.08</v>
      </c>
    </row>
    <row r="223" spans="1:18" x14ac:dyDescent="0.5">
      <c r="A223" s="56"/>
      <c r="B223" s="33" t="s">
        <v>42</v>
      </c>
      <c r="C223" s="95"/>
      <c r="D223" s="134">
        <f>ROUND(C223/12,2)</f>
        <v>0</v>
      </c>
      <c r="E223" s="134">
        <f>D223*1</f>
        <v>0</v>
      </c>
      <c r="F223" s="135"/>
      <c r="G223" s="95"/>
      <c r="H223" s="134">
        <f>ROUND(G223/12,2)</f>
        <v>0</v>
      </c>
      <c r="I223" s="134">
        <f>H223*1</f>
        <v>0</v>
      </c>
      <c r="J223" s="135"/>
      <c r="K223" s="95"/>
      <c r="L223" s="134">
        <f>ROUND(K223/12,2)</f>
        <v>0</v>
      </c>
      <c r="M223" s="134">
        <f>L223*1</f>
        <v>0</v>
      </c>
      <c r="N223" s="135"/>
      <c r="O223" s="115">
        <f t="shared" si="8"/>
        <v>0</v>
      </c>
      <c r="P223" s="175">
        <f>ROUND(O223/24,2)</f>
        <v>0</v>
      </c>
      <c r="Q223" s="175">
        <f>P223*1</f>
        <v>0</v>
      </c>
      <c r="R223" s="176">
        <v>0</v>
      </c>
    </row>
    <row r="224" spans="1:18" x14ac:dyDescent="0.5">
      <c r="A224" s="56"/>
      <c r="B224" s="33" t="s">
        <v>43</v>
      </c>
      <c r="C224" s="95"/>
      <c r="D224" s="134">
        <f>ROUND(C224/12,2)</f>
        <v>0</v>
      </c>
      <c r="E224" s="134">
        <f>D224*1</f>
        <v>0</v>
      </c>
      <c r="F224" s="135"/>
      <c r="G224" s="95"/>
      <c r="H224" s="134">
        <f>ROUND(G224/12,2)</f>
        <v>0</v>
      </c>
      <c r="I224" s="134">
        <f>H224*1</f>
        <v>0</v>
      </c>
      <c r="J224" s="135"/>
      <c r="K224" s="95"/>
      <c r="L224" s="134">
        <f>ROUND(K224/12,2)</f>
        <v>0</v>
      </c>
      <c r="M224" s="134">
        <f>L224*1</f>
        <v>0</v>
      </c>
      <c r="N224" s="135"/>
      <c r="O224" s="119">
        <f t="shared" si="8"/>
        <v>0</v>
      </c>
      <c r="P224" s="175">
        <f>ROUND(O224/24,2)</f>
        <v>0</v>
      </c>
      <c r="Q224" s="175">
        <f>P224*1</f>
        <v>0</v>
      </c>
      <c r="R224" s="176">
        <v>0</v>
      </c>
    </row>
    <row r="225" spans="1:18" x14ac:dyDescent="0.5">
      <c r="A225" s="55" t="s">
        <v>82</v>
      </c>
      <c r="B225" s="33" t="s">
        <v>3</v>
      </c>
      <c r="C225" s="95">
        <f>894+660</f>
        <v>1554</v>
      </c>
      <c r="D225" s="134">
        <f>ROUND(C225/18,2)</f>
        <v>86.33</v>
      </c>
      <c r="E225" s="134"/>
      <c r="F225" s="135">
        <f>SUM(D225,E226:E227)</f>
        <v>97.33</v>
      </c>
      <c r="G225" s="95">
        <f>1346</f>
        <v>1346</v>
      </c>
      <c r="H225" s="134">
        <f>ROUND(G225/18,2)</f>
        <v>74.78</v>
      </c>
      <c r="I225" s="134"/>
      <c r="J225" s="135">
        <f>SUM(H225,I226:I227)</f>
        <v>76.78</v>
      </c>
      <c r="K225" s="95">
        <f>123</f>
        <v>123</v>
      </c>
      <c r="L225" s="134">
        <f>ROUND(K225/18,2)</f>
        <v>6.83</v>
      </c>
      <c r="M225" s="134"/>
      <c r="N225" s="135">
        <f>SUM(L225,M226:M227)</f>
        <v>6.83</v>
      </c>
      <c r="O225" s="115">
        <f t="shared" si="8"/>
        <v>3023</v>
      </c>
      <c r="P225" s="174">
        <f>ROUND(O225/36,2)</f>
        <v>83.97</v>
      </c>
      <c r="Q225" s="175" t="s">
        <v>44</v>
      </c>
      <c r="R225" s="176">
        <f>SUM(P225,Q226:Q227)</f>
        <v>90.47</v>
      </c>
    </row>
    <row r="226" spans="1:18" x14ac:dyDescent="0.5">
      <c r="A226" s="56"/>
      <c r="B226" s="33" t="s">
        <v>42</v>
      </c>
      <c r="C226" s="95">
        <f>102</f>
        <v>102</v>
      </c>
      <c r="D226" s="134">
        <f>ROUND(C226/12,2)</f>
        <v>8.5</v>
      </c>
      <c r="E226" s="134">
        <f>D226*1</f>
        <v>8.5</v>
      </c>
      <c r="F226" s="135"/>
      <c r="G226" s="95">
        <f>12</f>
        <v>12</v>
      </c>
      <c r="H226" s="134">
        <f>ROUND(G226/12,2)</f>
        <v>1</v>
      </c>
      <c r="I226" s="134">
        <f>H226*1</f>
        <v>1</v>
      </c>
      <c r="J226" s="135"/>
      <c r="K226" s="95"/>
      <c r="L226" s="134">
        <f>ROUND(K226/12,2)</f>
        <v>0</v>
      </c>
      <c r="M226" s="134">
        <f>L226*1</f>
        <v>0</v>
      </c>
      <c r="N226" s="135"/>
      <c r="O226" s="115">
        <f t="shared" si="8"/>
        <v>114</v>
      </c>
      <c r="P226" s="175">
        <f>ROUND(O226/24,2)</f>
        <v>4.75</v>
      </c>
      <c r="Q226" s="175">
        <f>P226*1</f>
        <v>4.75</v>
      </c>
      <c r="R226" s="176">
        <v>0</v>
      </c>
    </row>
    <row r="227" spans="1:18" x14ac:dyDescent="0.5">
      <c r="A227" s="56"/>
      <c r="B227" s="33" t="s">
        <v>43</v>
      </c>
      <c r="C227" s="95">
        <f>30</f>
        <v>30</v>
      </c>
      <c r="D227" s="134">
        <f>ROUND(C227/12,2)</f>
        <v>2.5</v>
      </c>
      <c r="E227" s="134">
        <f>D227*1</f>
        <v>2.5</v>
      </c>
      <c r="F227" s="135"/>
      <c r="G227" s="95">
        <f>12</f>
        <v>12</v>
      </c>
      <c r="H227" s="134">
        <f>ROUND(G227/12,2)</f>
        <v>1</v>
      </c>
      <c r="I227" s="134">
        <f>H227*1</f>
        <v>1</v>
      </c>
      <c r="J227" s="135"/>
      <c r="K227" s="95"/>
      <c r="L227" s="134">
        <f>ROUND(K227/12,2)</f>
        <v>0</v>
      </c>
      <c r="M227" s="134">
        <f>L227*1</f>
        <v>0</v>
      </c>
      <c r="N227" s="135"/>
      <c r="O227" s="119">
        <f t="shared" si="8"/>
        <v>42</v>
      </c>
      <c r="P227" s="175">
        <f>ROUND(O227/24,2)</f>
        <v>1.75</v>
      </c>
      <c r="Q227" s="175">
        <f>P227*1</f>
        <v>1.75</v>
      </c>
      <c r="R227" s="176">
        <v>0</v>
      </c>
    </row>
    <row r="228" spans="1:18" x14ac:dyDescent="0.5">
      <c r="A228" s="55" t="s">
        <v>83</v>
      </c>
      <c r="B228" s="33" t="s">
        <v>3</v>
      </c>
      <c r="C228" s="95">
        <f>1504</f>
        <v>1504</v>
      </c>
      <c r="D228" s="134">
        <f>ROUND(C228/18,2)</f>
        <v>83.56</v>
      </c>
      <c r="E228" s="134"/>
      <c r="F228" s="135">
        <f>SUM(D228,E229:E230)</f>
        <v>83.56</v>
      </c>
      <c r="G228" s="95">
        <f>1836</f>
        <v>1836</v>
      </c>
      <c r="H228" s="134">
        <f>ROUND(G228/18,2)</f>
        <v>102</v>
      </c>
      <c r="I228" s="134"/>
      <c r="J228" s="135">
        <f>SUM(H228,I229:I230)</f>
        <v>108</v>
      </c>
      <c r="K228" s="95">
        <f>352</f>
        <v>352</v>
      </c>
      <c r="L228" s="134">
        <f>ROUND(K228/18,2)</f>
        <v>19.559999999999999</v>
      </c>
      <c r="M228" s="134"/>
      <c r="N228" s="135">
        <f>SUM(L228,M229:M230)</f>
        <v>19.559999999999999</v>
      </c>
      <c r="O228" s="115">
        <f t="shared" si="8"/>
        <v>3692</v>
      </c>
      <c r="P228" s="174">
        <f>ROUND(O228/36,2)</f>
        <v>102.56</v>
      </c>
      <c r="Q228" s="175" t="s">
        <v>44</v>
      </c>
      <c r="R228" s="176">
        <f>SUM(P228,Q229:Q230)</f>
        <v>105.56</v>
      </c>
    </row>
    <row r="229" spans="1:18" x14ac:dyDescent="0.5">
      <c r="A229" s="56"/>
      <c r="B229" s="33" t="s">
        <v>42</v>
      </c>
      <c r="C229" s="95"/>
      <c r="D229" s="134">
        <f>ROUND(C229/12,2)</f>
        <v>0</v>
      </c>
      <c r="E229" s="134">
        <f>D229*1</f>
        <v>0</v>
      </c>
      <c r="F229" s="135"/>
      <c r="G229" s="95">
        <f>72</f>
        <v>72</v>
      </c>
      <c r="H229" s="134">
        <f>ROUND(G229/12,2)</f>
        <v>6</v>
      </c>
      <c r="I229" s="134">
        <f>H229*1</f>
        <v>6</v>
      </c>
      <c r="J229" s="135"/>
      <c r="K229" s="95"/>
      <c r="L229" s="134">
        <f>ROUND(K229/12,2)</f>
        <v>0</v>
      </c>
      <c r="M229" s="134">
        <f>L229*1</f>
        <v>0</v>
      </c>
      <c r="N229" s="135"/>
      <c r="O229" s="115">
        <f t="shared" si="8"/>
        <v>72</v>
      </c>
      <c r="P229" s="175">
        <f>ROUND(O229/24,2)</f>
        <v>3</v>
      </c>
      <c r="Q229" s="175">
        <f>P229*1</f>
        <v>3</v>
      </c>
      <c r="R229" s="176">
        <v>0</v>
      </c>
    </row>
    <row r="230" spans="1:18" x14ac:dyDescent="0.5">
      <c r="A230" s="56"/>
      <c r="B230" s="33" t="s">
        <v>43</v>
      </c>
      <c r="C230" s="95"/>
      <c r="D230" s="134">
        <f>ROUND(C230/12,2)</f>
        <v>0</v>
      </c>
      <c r="E230" s="134">
        <f>D230*1</f>
        <v>0</v>
      </c>
      <c r="F230" s="135"/>
      <c r="G230" s="95"/>
      <c r="H230" s="134">
        <f>ROUND(G230/12,2)</f>
        <v>0</v>
      </c>
      <c r="I230" s="134">
        <f>H230*1</f>
        <v>0</v>
      </c>
      <c r="J230" s="135"/>
      <c r="K230" s="95"/>
      <c r="L230" s="134">
        <f>ROUND(K230/12,2)</f>
        <v>0</v>
      </c>
      <c r="M230" s="134">
        <f>L230*1</f>
        <v>0</v>
      </c>
      <c r="N230" s="135"/>
      <c r="O230" s="119">
        <f t="shared" si="8"/>
        <v>0</v>
      </c>
      <c r="P230" s="175">
        <f>ROUND(O230/24,2)</f>
        <v>0</v>
      </c>
      <c r="Q230" s="175">
        <f>P230*1</f>
        <v>0</v>
      </c>
      <c r="R230" s="176">
        <v>0</v>
      </c>
    </row>
    <row r="231" spans="1:18" x14ac:dyDescent="0.5">
      <c r="A231" s="55" t="s">
        <v>84</v>
      </c>
      <c r="B231" s="33" t="s">
        <v>3</v>
      </c>
      <c r="C231" s="95">
        <f>2811</f>
        <v>2811</v>
      </c>
      <c r="D231" s="134">
        <f>ROUND(C231/18,2)</f>
        <v>156.16999999999999</v>
      </c>
      <c r="E231" s="134"/>
      <c r="F231" s="135">
        <f>SUM(D231,E232:E233)</f>
        <v>156.16999999999999</v>
      </c>
      <c r="G231" s="95">
        <f>3180</f>
        <v>3180</v>
      </c>
      <c r="H231" s="134">
        <f>ROUND(G231/18,2)</f>
        <v>176.67</v>
      </c>
      <c r="I231" s="134"/>
      <c r="J231" s="135">
        <f>SUM(H231,I232:I233)</f>
        <v>176.67</v>
      </c>
      <c r="K231" s="95">
        <f>132</f>
        <v>132</v>
      </c>
      <c r="L231" s="134">
        <f>ROUND(K231/18,2)</f>
        <v>7.33</v>
      </c>
      <c r="M231" s="134"/>
      <c r="N231" s="135">
        <f>SUM(L231,M232:M233)</f>
        <v>7.33</v>
      </c>
      <c r="O231" s="115">
        <f t="shared" si="8"/>
        <v>6123</v>
      </c>
      <c r="P231" s="174">
        <f>ROUND(O231/36,2)</f>
        <v>170.08</v>
      </c>
      <c r="Q231" s="175" t="s">
        <v>44</v>
      </c>
      <c r="R231" s="176">
        <f>SUM(P231,Q232:Q233)</f>
        <v>170.08</v>
      </c>
    </row>
    <row r="232" spans="1:18" x14ac:dyDescent="0.5">
      <c r="A232" s="56"/>
      <c r="B232" s="33" t="s">
        <v>42</v>
      </c>
      <c r="C232" s="95"/>
      <c r="D232" s="134">
        <f>ROUND(C232/12,2)</f>
        <v>0</v>
      </c>
      <c r="E232" s="134">
        <f>D232*1</f>
        <v>0</v>
      </c>
      <c r="F232" s="135"/>
      <c r="G232" s="95"/>
      <c r="H232" s="134">
        <f>ROUND(G232/12,2)</f>
        <v>0</v>
      </c>
      <c r="I232" s="134">
        <f>H232*1</f>
        <v>0</v>
      </c>
      <c r="J232" s="135"/>
      <c r="K232" s="95"/>
      <c r="L232" s="134">
        <f>ROUND(K232/12,2)</f>
        <v>0</v>
      </c>
      <c r="M232" s="134">
        <f>L232*1</f>
        <v>0</v>
      </c>
      <c r="N232" s="135"/>
      <c r="O232" s="115">
        <f t="shared" si="8"/>
        <v>0</v>
      </c>
      <c r="P232" s="175">
        <f>ROUND(O232/24,2)</f>
        <v>0</v>
      </c>
      <c r="Q232" s="175">
        <f>P232*1</f>
        <v>0</v>
      </c>
      <c r="R232" s="176">
        <v>0</v>
      </c>
    </row>
    <row r="233" spans="1:18" x14ac:dyDescent="0.5">
      <c r="A233" s="56"/>
      <c r="B233" s="33" t="s">
        <v>43</v>
      </c>
      <c r="C233" s="95"/>
      <c r="D233" s="134">
        <f>ROUND(C233/12,2)</f>
        <v>0</v>
      </c>
      <c r="E233" s="134">
        <f>D233*1</f>
        <v>0</v>
      </c>
      <c r="F233" s="135"/>
      <c r="G233" s="95"/>
      <c r="H233" s="134">
        <f>ROUND(G233/12,2)</f>
        <v>0</v>
      </c>
      <c r="I233" s="134">
        <f>H233*1</f>
        <v>0</v>
      </c>
      <c r="J233" s="135"/>
      <c r="K233" s="95"/>
      <c r="L233" s="134">
        <f>ROUND(K233/12,2)</f>
        <v>0</v>
      </c>
      <c r="M233" s="134">
        <f>L233*1</f>
        <v>0</v>
      </c>
      <c r="N233" s="135"/>
      <c r="O233" s="119">
        <f t="shared" si="8"/>
        <v>0</v>
      </c>
      <c r="P233" s="175">
        <f>ROUND(O233/24,2)</f>
        <v>0</v>
      </c>
      <c r="Q233" s="175">
        <f>P233*1</f>
        <v>0</v>
      </c>
      <c r="R233" s="176">
        <v>0</v>
      </c>
    </row>
    <row r="234" spans="1:18" x14ac:dyDescent="0.5">
      <c r="A234" s="55" t="s">
        <v>85</v>
      </c>
      <c r="B234" s="33" t="s">
        <v>3</v>
      </c>
      <c r="C234" s="95">
        <f>1395</f>
        <v>1395</v>
      </c>
      <c r="D234" s="134">
        <f>ROUND(C234/18,2)</f>
        <v>77.5</v>
      </c>
      <c r="E234" s="134"/>
      <c r="F234" s="135">
        <f>SUM(D234,E235:E236)</f>
        <v>77.5</v>
      </c>
      <c r="G234" s="95">
        <f>1196</f>
        <v>1196</v>
      </c>
      <c r="H234" s="134">
        <f>ROUND(G234/18,2)</f>
        <v>66.44</v>
      </c>
      <c r="I234" s="134"/>
      <c r="J234" s="135">
        <f>SUM(H234,I235:I236)</f>
        <v>66.44</v>
      </c>
      <c r="K234" s="95">
        <f>382</f>
        <v>382</v>
      </c>
      <c r="L234" s="134">
        <f>ROUND(K234/18,2)</f>
        <v>21.22</v>
      </c>
      <c r="M234" s="134"/>
      <c r="N234" s="135">
        <f>SUM(L234,M235:M236)</f>
        <v>21.22</v>
      </c>
      <c r="O234" s="115">
        <f t="shared" si="8"/>
        <v>2973</v>
      </c>
      <c r="P234" s="174">
        <f>ROUND(O234/36,2)</f>
        <v>82.58</v>
      </c>
      <c r="Q234" s="175" t="s">
        <v>44</v>
      </c>
      <c r="R234" s="176">
        <f>SUM(P234,Q235:Q236)</f>
        <v>82.58</v>
      </c>
    </row>
    <row r="235" spans="1:18" x14ac:dyDescent="0.5">
      <c r="A235" s="56"/>
      <c r="B235" s="33" t="s">
        <v>42</v>
      </c>
      <c r="C235" s="95"/>
      <c r="D235" s="134">
        <f>ROUND(C235/12,2)</f>
        <v>0</v>
      </c>
      <c r="E235" s="134">
        <f>D235*1</f>
        <v>0</v>
      </c>
      <c r="F235" s="135"/>
      <c r="G235" s="95"/>
      <c r="H235" s="134">
        <f>ROUND(G235/12,2)</f>
        <v>0</v>
      </c>
      <c r="I235" s="134">
        <f>H235*1</f>
        <v>0</v>
      </c>
      <c r="J235" s="135"/>
      <c r="K235" s="95"/>
      <c r="L235" s="134">
        <f>ROUND(K235/12,2)</f>
        <v>0</v>
      </c>
      <c r="M235" s="134">
        <f>L235*1</f>
        <v>0</v>
      </c>
      <c r="N235" s="135"/>
      <c r="O235" s="115">
        <f t="shared" si="8"/>
        <v>0</v>
      </c>
      <c r="P235" s="175">
        <f>ROUND(O235/24,2)</f>
        <v>0</v>
      </c>
      <c r="Q235" s="175">
        <f>P235*1</f>
        <v>0</v>
      </c>
      <c r="R235" s="176">
        <v>0</v>
      </c>
    </row>
    <row r="236" spans="1:18" x14ac:dyDescent="0.5">
      <c r="A236" s="56"/>
      <c r="B236" s="33" t="s">
        <v>43</v>
      </c>
      <c r="C236" s="95"/>
      <c r="D236" s="134">
        <f>ROUND(C236/12,2)</f>
        <v>0</v>
      </c>
      <c r="E236" s="134">
        <f>D236*1</f>
        <v>0</v>
      </c>
      <c r="F236" s="135"/>
      <c r="G236" s="95"/>
      <c r="H236" s="134">
        <f>ROUND(G236/12,2)</f>
        <v>0</v>
      </c>
      <c r="I236" s="134">
        <f>H236*1</f>
        <v>0</v>
      </c>
      <c r="J236" s="135"/>
      <c r="K236" s="95"/>
      <c r="L236" s="134">
        <f>ROUND(K236/12,2)</f>
        <v>0</v>
      </c>
      <c r="M236" s="134">
        <f>L236*1</f>
        <v>0</v>
      </c>
      <c r="N236" s="135"/>
      <c r="O236" s="119">
        <f t="shared" si="8"/>
        <v>0</v>
      </c>
      <c r="P236" s="175">
        <f>ROUND(O236/24,2)</f>
        <v>0</v>
      </c>
      <c r="Q236" s="175">
        <f>P236*1</f>
        <v>0</v>
      </c>
      <c r="R236" s="176">
        <v>0</v>
      </c>
    </row>
    <row r="237" spans="1:18" x14ac:dyDescent="0.5">
      <c r="A237" s="63" t="s">
        <v>56</v>
      </c>
      <c r="B237" s="38" t="s">
        <v>3</v>
      </c>
      <c r="C237" s="78">
        <f>SUM(C222,C225,C228,C231,C234)</f>
        <v>11238</v>
      </c>
      <c r="D237" s="140">
        <f>ROUND(C237/18,2)</f>
        <v>624.33000000000004</v>
      </c>
      <c r="E237" s="140"/>
      <c r="F237" s="141">
        <f>SUM(D237,E238:E239)</f>
        <v>635.33000000000004</v>
      </c>
      <c r="G237" s="78">
        <f>SUM(G222,G225,G228,G231,G234)</f>
        <v>11958</v>
      </c>
      <c r="H237" s="140">
        <f>ROUND(G237/18,2)</f>
        <v>664.33</v>
      </c>
      <c r="I237" s="140"/>
      <c r="J237" s="141">
        <f>SUM(H237,I238:I239)</f>
        <v>672.33</v>
      </c>
      <c r="K237" s="78">
        <f>SUM(K222,K225,K228,K231,K234)</f>
        <v>1618</v>
      </c>
      <c r="L237" s="140">
        <f>ROUND(K237/18,2)</f>
        <v>89.89</v>
      </c>
      <c r="M237" s="140"/>
      <c r="N237" s="141">
        <f>SUM(L237,M238:M239)</f>
        <v>89.89</v>
      </c>
      <c r="O237" s="120">
        <f t="shared" si="8"/>
        <v>24814</v>
      </c>
      <c r="P237" s="184">
        <f>ROUND(O237/36,2)</f>
        <v>689.28</v>
      </c>
      <c r="Q237" s="185" t="s">
        <v>44</v>
      </c>
      <c r="R237" s="176">
        <f>SUM(P237,Q238:Q239)</f>
        <v>698.78</v>
      </c>
    </row>
    <row r="238" spans="1:18" x14ac:dyDescent="0.5">
      <c r="A238" s="68"/>
      <c r="B238" s="38" t="s">
        <v>42</v>
      </c>
      <c r="C238" s="78">
        <f>SUM(C223,C226,C229,C232,C235)</f>
        <v>102</v>
      </c>
      <c r="D238" s="140">
        <f>ROUND(C238/12,2)</f>
        <v>8.5</v>
      </c>
      <c r="E238" s="140">
        <f>D238*1</f>
        <v>8.5</v>
      </c>
      <c r="F238" s="141"/>
      <c r="G238" s="78">
        <f>SUM(G223,G226,G229,G232,G235)</f>
        <v>84</v>
      </c>
      <c r="H238" s="140">
        <f>ROUND(G238/12,2)</f>
        <v>7</v>
      </c>
      <c r="I238" s="140">
        <f>H238*1</f>
        <v>7</v>
      </c>
      <c r="J238" s="141"/>
      <c r="K238" s="78">
        <f>SUM(K223,K226,K229,K232,K235)</f>
        <v>0</v>
      </c>
      <c r="L238" s="140">
        <f>ROUND(K238/12,2)</f>
        <v>0</v>
      </c>
      <c r="M238" s="140">
        <f>L238*1</f>
        <v>0</v>
      </c>
      <c r="N238" s="141"/>
      <c r="O238" s="120">
        <f t="shared" si="8"/>
        <v>186</v>
      </c>
      <c r="P238" s="184">
        <f>ROUND(O238/24,2)</f>
        <v>7.75</v>
      </c>
      <c r="Q238" s="185">
        <f>P238*1</f>
        <v>7.75</v>
      </c>
      <c r="R238" s="176">
        <v>0</v>
      </c>
    </row>
    <row r="239" spans="1:18" ht="22.5" thickBot="1" x14ac:dyDescent="0.55000000000000004">
      <c r="A239" s="57"/>
      <c r="B239" s="39" t="s">
        <v>43</v>
      </c>
      <c r="C239" s="79">
        <f>SUM(C224,C227,C230,C233,C236)</f>
        <v>30</v>
      </c>
      <c r="D239" s="142">
        <f>ROUND(C239/12,2)</f>
        <v>2.5</v>
      </c>
      <c r="E239" s="142">
        <f>D239*1</f>
        <v>2.5</v>
      </c>
      <c r="F239" s="143"/>
      <c r="G239" s="79">
        <f>SUM(G224,G227,G230,G233,G236)</f>
        <v>12</v>
      </c>
      <c r="H239" s="142">
        <f>ROUND(G239/12,2)</f>
        <v>1</v>
      </c>
      <c r="I239" s="142">
        <f>H239*1</f>
        <v>1</v>
      </c>
      <c r="J239" s="143"/>
      <c r="K239" s="79">
        <f>SUM(K224,K227,K230,K233,K236)</f>
        <v>0</v>
      </c>
      <c r="L239" s="142">
        <f>ROUND(K239/12,2)</f>
        <v>0</v>
      </c>
      <c r="M239" s="142">
        <f>L239*1</f>
        <v>0</v>
      </c>
      <c r="N239" s="143"/>
      <c r="O239" s="121">
        <f t="shared" si="8"/>
        <v>42</v>
      </c>
      <c r="P239" s="186">
        <f>ROUND(O239/24,2)</f>
        <v>1.75</v>
      </c>
      <c r="Q239" s="187">
        <f>P239*1</f>
        <v>1.75</v>
      </c>
      <c r="R239" s="179">
        <v>0</v>
      </c>
    </row>
    <row r="240" spans="1:18" x14ac:dyDescent="0.5">
      <c r="A240" s="58" t="s">
        <v>21</v>
      </c>
      <c r="B240" s="36"/>
      <c r="C240" s="97"/>
      <c r="D240" s="138"/>
      <c r="E240" s="138"/>
      <c r="F240" s="139"/>
      <c r="G240" s="97"/>
      <c r="H240" s="138"/>
      <c r="I240" s="138"/>
      <c r="J240" s="139"/>
      <c r="K240" s="97"/>
      <c r="L240" s="138"/>
      <c r="M240" s="168"/>
      <c r="N240" s="139"/>
      <c r="O240" s="126"/>
      <c r="P240" s="181"/>
      <c r="Q240" s="183"/>
      <c r="R240" s="182"/>
    </row>
    <row r="241" spans="1:18" x14ac:dyDescent="0.5">
      <c r="A241" s="55" t="s">
        <v>41</v>
      </c>
      <c r="B241" s="33" t="s">
        <v>3</v>
      </c>
      <c r="C241" s="95">
        <v>21825</v>
      </c>
      <c r="D241" s="134">
        <f>ROUND(C241/18,2)</f>
        <v>1212.5</v>
      </c>
      <c r="E241" s="134"/>
      <c r="F241" s="135">
        <f>SUM(D241,E242:E243)</f>
        <v>1212.5</v>
      </c>
      <c r="G241" s="95">
        <v>17853</v>
      </c>
      <c r="H241" s="134">
        <f>ROUND(G241/18,2)</f>
        <v>991.83</v>
      </c>
      <c r="I241" s="134"/>
      <c r="J241" s="135">
        <f>SUM(H241,I242:I243)</f>
        <v>991.83</v>
      </c>
      <c r="K241" s="95">
        <f>147+5800+45</f>
        <v>5992</v>
      </c>
      <c r="L241" s="134">
        <f>ROUND(K241/18,2)</f>
        <v>332.89</v>
      </c>
      <c r="M241" s="134"/>
      <c r="N241" s="135">
        <f>SUM(L241,M242:M243)</f>
        <v>332.89</v>
      </c>
      <c r="O241" s="115">
        <f>SUM(C241,G241,K241)</f>
        <v>45670</v>
      </c>
      <c r="P241" s="174">
        <f>ROUND(O241/36,2)</f>
        <v>1268.6099999999999</v>
      </c>
      <c r="Q241" s="175" t="s">
        <v>44</v>
      </c>
      <c r="R241" s="176">
        <f>SUM(P241,Q242:Q243)</f>
        <v>1268.6099999999999</v>
      </c>
    </row>
    <row r="242" spans="1:18" x14ac:dyDescent="0.5">
      <c r="A242" s="56"/>
      <c r="B242" s="33" t="s">
        <v>42</v>
      </c>
      <c r="C242" s="95"/>
      <c r="D242" s="134">
        <f>ROUND(C242/12,2)</f>
        <v>0</v>
      </c>
      <c r="E242" s="134">
        <f>D242*1.8</f>
        <v>0</v>
      </c>
      <c r="F242" s="135"/>
      <c r="G242" s="95"/>
      <c r="H242" s="134">
        <f>ROUND(G242/12,2)</f>
        <v>0</v>
      </c>
      <c r="I242" s="134">
        <f>H242*1.8</f>
        <v>0</v>
      </c>
      <c r="J242" s="135"/>
      <c r="K242" s="95"/>
      <c r="L242" s="134">
        <f>ROUND(K242/12,2)</f>
        <v>0</v>
      </c>
      <c r="M242" s="134">
        <f>L242*1.8</f>
        <v>0</v>
      </c>
      <c r="N242" s="135"/>
      <c r="O242" s="119">
        <f>SUM(C242,G242,K242)</f>
        <v>0</v>
      </c>
      <c r="P242" s="175">
        <f>ROUND(O242/24,2)</f>
        <v>0</v>
      </c>
      <c r="Q242" s="175">
        <f>P242*1.8</f>
        <v>0</v>
      </c>
      <c r="R242" s="176">
        <v>0</v>
      </c>
    </row>
    <row r="243" spans="1:18" ht="22.5" thickBot="1" x14ac:dyDescent="0.55000000000000004">
      <c r="A243" s="57"/>
      <c r="B243" s="34" t="s">
        <v>43</v>
      </c>
      <c r="C243" s="96"/>
      <c r="D243" s="136">
        <f>ROUND(C243/12,2)</f>
        <v>0</v>
      </c>
      <c r="E243" s="136">
        <f>D243*1.8</f>
        <v>0</v>
      </c>
      <c r="F243" s="137"/>
      <c r="G243" s="96"/>
      <c r="H243" s="136">
        <f>ROUND(G243/12,2)</f>
        <v>0</v>
      </c>
      <c r="I243" s="136">
        <f>H243*1.8</f>
        <v>0</v>
      </c>
      <c r="J243" s="137"/>
      <c r="K243" s="96"/>
      <c r="L243" s="136">
        <f>ROUND(K243/12,2)</f>
        <v>0</v>
      </c>
      <c r="M243" s="136">
        <f>L243*1.8</f>
        <v>0</v>
      </c>
      <c r="N243" s="137"/>
      <c r="O243" s="125">
        <f>SUM(C243,G243,K243)</f>
        <v>0</v>
      </c>
      <c r="P243" s="178">
        <f>ROUND(O243/24,2)</f>
        <v>0</v>
      </c>
      <c r="Q243" s="178">
        <f>P243*1.8</f>
        <v>0</v>
      </c>
      <c r="R243" s="179">
        <v>0</v>
      </c>
    </row>
    <row r="244" spans="1:18" x14ac:dyDescent="0.5">
      <c r="A244" s="58" t="s">
        <v>22</v>
      </c>
      <c r="B244" s="36"/>
      <c r="C244" s="97"/>
      <c r="D244" s="138"/>
      <c r="E244" s="138"/>
      <c r="F244" s="139"/>
      <c r="G244" s="97"/>
      <c r="H244" s="138"/>
      <c r="I244" s="138"/>
      <c r="J244" s="139"/>
      <c r="K244" s="97"/>
      <c r="L244" s="138"/>
      <c r="M244" s="138"/>
      <c r="N244" s="139"/>
      <c r="O244" s="126"/>
      <c r="P244" s="181"/>
      <c r="Q244" s="181"/>
      <c r="R244" s="182"/>
    </row>
    <row r="245" spans="1:18" x14ac:dyDescent="0.5">
      <c r="A245" s="55" t="s">
        <v>41</v>
      </c>
      <c r="B245" s="33" t="s">
        <v>3</v>
      </c>
      <c r="C245" s="95"/>
      <c r="D245" s="134">
        <f>ROUND(C245/18,2)</f>
        <v>0</v>
      </c>
      <c r="E245" s="134"/>
      <c r="F245" s="135">
        <f>SUM(D245,E246:E247)</f>
        <v>78.75</v>
      </c>
      <c r="G245" s="95"/>
      <c r="H245" s="134">
        <f>ROUND(G245/18,2)</f>
        <v>0</v>
      </c>
      <c r="I245" s="134"/>
      <c r="J245" s="135">
        <f>SUM(H245,I246:I247)</f>
        <v>143.55000000000001</v>
      </c>
      <c r="K245" s="95"/>
      <c r="L245" s="134">
        <f>ROUND(K245/18,2)</f>
        <v>0</v>
      </c>
      <c r="M245" s="134"/>
      <c r="N245" s="135">
        <f>SUM(L245,M246:M247)</f>
        <v>0</v>
      </c>
      <c r="O245" s="115">
        <f>SUM(C245,G245,K245)</f>
        <v>0</v>
      </c>
      <c r="P245" s="174">
        <f>ROUND(O245/36,2)</f>
        <v>0</v>
      </c>
      <c r="Q245" s="175" t="s">
        <v>44</v>
      </c>
      <c r="R245" s="176">
        <f>SUM(P245,Q246:Q247)</f>
        <v>111.15</v>
      </c>
    </row>
    <row r="246" spans="1:18" x14ac:dyDescent="0.5">
      <c r="A246" s="56"/>
      <c r="B246" s="33" t="s">
        <v>42</v>
      </c>
      <c r="C246" s="95">
        <f>90</f>
        <v>90</v>
      </c>
      <c r="D246" s="134">
        <f>ROUND(C246/12,2)</f>
        <v>7.5</v>
      </c>
      <c r="E246" s="134">
        <f>D246*1.8</f>
        <v>13.5</v>
      </c>
      <c r="F246" s="135"/>
      <c r="G246" s="95"/>
      <c r="H246" s="134">
        <f>ROUND(G246/12,2)</f>
        <v>0</v>
      </c>
      <c r="I246" s="134">
        <f>H246*1.8</f>
        <v>0</v>
      </c>
      <c r="J246" s="135"/>
      <c r="K246" s="95"/>
      <c r="L246" s="134">
        <f>ROUND(K246/12,2)</f>
        <v>0</v>
      </c>
      <c r="M246" s="134">
        <f>L246*1.8</f>
        <v>0</v>
      </c>
      <c r="N246" s="135"/>
      <c r="O246" s="119">
        <f>SUM(C246,G246,K246)</f>
        <v>90</v>
      </c>
      <c r="P246" s="175">
        <f>ROUND(O246/24,2)</f>
        <v>3.75</v>
      </c>
      <c r="Q246" s="175">
        <f>P246*1.8</f>
        <v>6.75</v>
      </c>
      <c r="R246" s="176">
        <v>0</v>
      </c>
    </row>
    <row r="247" spans="1:18" ht="22.5" thickBot="1" x14ac:dyDescent="0.55000000000000004">
      <c r="A247" s="57"/>
      <c r="B247" s="34" t="s">
        <v>43</v>
      </c>
      <c r="C247" s="96">
        <f>355+45+35</f>
        <v>435</v>
      </c>
      <c r="D247" s="136">
        <f>ROUND(C247/12,2)</f>
        <v>36.25</v>
      </c>
      <c r="E247" s="136">
        <f>D247*1.8</f>
        <v>65.25</v>
      </c>
      <c r="F247" s="137"/>
      <c r="G247" s="96">
        <f>87+630+27+108+21+84</f>
        <v>957</v>
      </c>
      <c r="H247" s="136">
        <f>ROUND(G247/12,2)</f>
        <v>79.75</v>
      </c>
      <c r="I247" s="136">
        <f>H247*1.8</f>
        <v>143.55000000000001</v>
      </c>
      <c r="J247" s="137"/>
      <c r="K247" s="96"/>
      <c r="L247" s="136">
        <f>ROUND(K247/12,2)</f>
        <v>0</v>
      </c>
      <c r="M247" s="136">
        <f>L247*1.8</f>
        <v>0</v>
      </c>
      <c r="N247" s="137"/>
      <c r="O247" s="125">
        <f>SUM(C247,G247,K247)</f>
        <v>1392</v>
      </c>
      <c r="P247" s="178">
        <f>ROUND(O247/24,2)</f>
        <v>58</v>
      </c>
      <c r="Q247" s="178">
        <f>P247*1.8</f>
        <v>104.4</v>
      </c>
      <c r="R247" s="179">
        <v>0</v>
      </c>
    </row>
    <row r="248" spans="1:18" x14ac:dyDescent="0.5">
      <c r="A248" s="58" t="s">
        <v>23</v>
      </c>
      <c r="B248" s="36"/>
      <c r="C248" s="97"/>
      <c r="D248" s="138"/>
      <c r="E248" s="138"/>
      <c r="F248" s="139"/>
      <c r="G248" s="97"/>
      <c r="H248" s="138"/>
      <c r="I248" s="138"/>
      <c r="J248" s="139"/>
      <c r="K248" s="97"/>
      <c r="L248" s="138"/>
      <c r="M248" s="138"/>
      <c r="N248" s="139"/>
      <c r="O248" s="126"/>
      <c r="P248" s="181"/>
      <c r="Q248" s="181"/>
      <c r="R248" s="182"/>
    </row>
    <row r="249" spans="1:18" x14ac:dyDescent="0.5">
      <c r="A249" s="55" t="s">
        <v>44</v>
      </c>
      <c r="B249" s="33" t="s">
        <v>3</v>
      </c>
      <c r="C249" s="95"/>
      <c r="D249" s="134">
        <f>ROUND(C249/18,2)</f>
        <v>0</v>
      </c>
      <c r="E249" s="134"/>
      <c r="F249" s="135">
        <f>SUM(D249,E250:E251)</f>
        <v>67.5</v>
      </c>
      <c r="G249" s="95"/>
      <c r="H249" s="134">
        <f>ROUND(G249/18,2)</f>
        <v>0</v>
      </c>
      <c r="I249" s="134"/>
      <c r="J249" s="135">
        <f>SUM(H249,I250:I251)</f>
        <v>46.206000000000003</v>
      </c>
      <c r="K249" s="95"/>
      <c r="L249" s="134">
        <f>ROUND(K249/18,2)</f>
        <v>0</v>
      </c>
      <c r="M249" s="134"/>
      <c r="N249" s="135">
        <f>SUM(L249,M250:M251)</f>
        <v>1.8</v>
      </c>
      <c r="O249" s="115">
        <f>SUM(C249,G249,K249)</f>
        <v>0</v>
      </c>
      <c r="P249" s="174">
        <f>ROUND(O249/36,2)</f>
        <v>0</v>
      </c>
      <c r="Q249" s="175" t="s">
        <v>44</v>
      </c>
      <c r="R249" s="176">
        <f>SUM(P249,Q250:Q251)</f>
        <v>57.762000000000008</v>
      </c>
    </row>
    <row r="250" spans="1:18" x14ac:dyDescent="0.5">
      <c r="A250" s="56"/>
      <c r="B250" s="33" t="s">
        <v>42</v>
      </c>
      <c r="C250" s="95">
        <v>423</v>
      </c>
      <c r="D250" s="134">
        <f>ROUND(C250/12,2)</f>
        <v>35.25</v>
      </c>
      <c r="E250" s="134">
        <f>D250*1.8</f>
        <v>63.45</v>
      </c>
      <c r="F250" s="135"/>
      <c r="G250" s="95">
        <v>284</v>
      </c>
      <c r="H250" s="134">
        <f>ROUND(G250/12,2)</f>
        <v>23.67</v>
      </c>
      <c r="I250" s="169">
        <f>H250*1.8</f>
        <v>42.606000000000002</v>
      </c>
      <c r="J250" s="135"/>
      <c r="K250" s="95"/>
      <c r="L250" s="134">
        <f>ROUND(K250/12,2)</f>
        <v>0</v>
      </c>
      <c r="M250" s="134">
        <f>L250*1.8</f>
        <v>0</v>
      </c>
      <c r="N250" s="135"/>
      <c r="O250" s="119">
        <f>SUM(C250,G250,K250)</f>
        <v>707</v>
      </c>
      <c r="P250" s="175">
        <f>ROUND(O250/24,2)</f>
        <v>29.46</v>
      </c>
      <c r="Q250" s="175">
        <f>P250*1.8</f>
        <v>53.028000000000006</v>
      </c>
      <c r="R250" s="176">
        <v>0</v>
      </c>
    </row>
    <row r="251" spans="1:18" ht="22.5" thickBot="1" x14ac:dyDescent="0.55000000000000004">
      <c r="A251" s="57"/>
      <c r="B251" s="34" t="s">
        <v>43</v>
      </c>
      <c r="C251" s="96">
        <v>27</v>
      </c>
      <c r="D251" s="136">
        <f>ROUND(C251/12,2)</f>
        <v>2.25</v>
      </c>
      <c r="E251" s="136">
        <f>D251*1.8</f>
        <v>4.05</v>
      </c>
      <c r="F251" s="137"/>
      <c r="G251" s="96">
        <v>24</v>
      </c>
      <c r="H251" s="136">
        <f>ROUND(G251/12,2)</f>
        <v>2</v>
      </c>
      <c r="I251" s="136">
        <f>H251*1.8</f>
        <v>3.6</v>
      </c>
      <c r="J251" s="137"/>
      <c r="K251" s="96">
        <v>12</v>
      </c>
      <c r="L251" s="136">
        <f>ROUND(K251/12,2)</f>
        <v>1</v>
      </c>
      <c r="M251" s="136">
        <f>L251*1.8</f>
        <v>1.8</v>
      </c>
      <c r="N251" s="137"/>
      <c r="O251" s="125">
        <f>SUM(C251,G251,K251)</f>
        <v>63</v>
      </c>
      <c r="P251" s="178">
        <f>ROUND(O251/24,2)</f>
        <v>2.63</v>
      </c>
      <c r="Q251" s="178">
        <f>P251*1.8</f>
        <v>4.734</v>
      </c>
      <c r="R251" s="179">
        <v>0</v>
      </c>
    </row>
    <row r="252" spans="1:18" x14ac:dyDescent="0.5">
      <c r="A252" s="58" t="s">
        <v>24</v>
      </c>
      <c r="B252" s="36"/>
      <c r="C252" s="97"/>
      <c r="D252" s="138"/>
      <c r="E252" s="138"/>
      <c r="F252" s="139"/>
      <c r="G252" s="97"/>
      <c r="H252" s="138"/>
      <c r="I252" s="138"/>
      <c r="J252" s="139"/>
      <c r="K252" s="97"/>
      <c r="L252" s="138"/>
      <c r="M252" s="138"/>
      <c r="N252" s="139"/>
      <c r="O252" s="126"/>
      <c r="P252" s="181"/>
      <c r="Q252" s="181"/>
      <c r="R252" s="182"/>
    </row>
    <row r="253" spans="1:18" x14ac:dyDescent="0.5">
      <c r="A253" s="55" t="s">
        <v>41</v>
      </c>
      <c r="B253" s="33" t="s">
        <v>3</v>
      </c>
      <c r="C253" s="95"/>
      <c r="D253" s="134">
        <f>ROUND(C253/18,2)</f>
        <v>0</v>
      </c>
      <c r="E253" s="134"/>
      <c r="F253" s="135">
        <f>SUM(D253,E254:E255)</f>
        <v>161.10000000000002</v>
      </c>
      <c r="G253" s="95"/>
      <c r="H253" s="134">
        <f>ROUND(G253/18,2)</f>
        <v>0</v>
      </c>
      <c r="I253" s="134"/>
      <c r="J253" s="135">
        <f>SUM(H253,I254:I255)</f>
        <v>148.94999999999999</v>
      </c>
      <c r="K253" s="95"/>
      <c r="L253" s="134">
        <f>ROUND(K253/18,2)</f>
        <v>0</v>
      </c>
      <c r="M253" s="134"/>
      <c r="N253" s="135">
        <f>SUM(L253,M254:M255)</f>
        <v>0</v>
      </c>
      <c r="O253" s="115">
        <f>SUM(C253,G253,K253)</f>
        <v>0</v>
      </c>
      <c r="P253" s="174">
        <f>ROUND(O253/36,2)</f>
        <v>0</v>
      </c>
      <c r="Q253" s="175" t="s">
        <v>44</v>
      </c>
      <c r="R253" s="176">
        <f>SUM(P253,Q254:Q255)</f>
        <v>155.03399999999999</v>
      </c>
    </row>
    <row r="254" spans="1:18" x14ac:dyDescent="0.5">
      <c r="A254" s="68"/>
      <c r="B254" s="33" t="s">
        <v>42</v>
      </c>
      <c r="C254" s="95">
        <f>156+147</f>
        <v>303</v>
      </c>
      <c r="D254" s="134">
        <f>ROUND(C254/12,2)</f>
        <v>25.25</v>
      </c>
      <c r="E254" s="134">
        <f>D254*1.8</f>
        <v>45.45</v>
      </c>
      <c r="F254" s="135"/>
      <c r="G254" s="95">
        <f>159+39</f>
        <v>198</v>
      </c>
      <c r="H254" s="134">
        <f>ROUND(G254/12,2)</f>
        <v>16.5</v>
      </c>
      <c r="I254" s="134">
        <f>H254*1.8</f>
        <v>29.7</v>
      </c>
      <c r="J254" s="135"/>
      <c r="K254" s="95"/>
      <c r="L254" s="134">
        <f>ROUND(K254/12,2)</f>
        <v>0</v>
      </c>
      <c r="M254" s="134">
        <f>L254*1.8</f>
        <v>0</v>
      </c>
      <c r="N254" s="135"/>
      <c r="O254" s="119">
        <f>SUM(C254,G254,K254)</f>
        <v>501</v>
      </c>
      <c r="P254" s="175">
        <f>ROUND(O254/24,2)</f>
        <v>20.88</v>
      </c>
      <c r="Q254" s="175">
        <f>P254*1.8</f>
        <v>37.583999999999996</v>
      </c>
      <c r="R254" s="176">
        <v>0</v>
      </c>
    </row>
    <row r="255" spans="1:18" ht="22.5" thickBot="1" x14ac:dyDescent="0.55000000000000004">
      <c r="A255" s="57"/>
      <c r="B255" s="34" t="s">
        <v>43</v>
      </c>
      <c r="C255" s="96">
        <f>411+315+42+3</f>
        <v>771</v>
      </c>
      <c r="D255" s="136">
        <f>ROUND(C255/12,2)</f>
        <v>64.25</v>
      </c>
      <c r="E255" s="136">
        <f>D255*1.8</f>
        <v>115.65</v>
      </c>
      <c r="F255" s="137"/>
      <c r="G255" s="96">
        <f>387+318+36+54</f>
        <v>795</v>
      </c>
      <c r="H255" s="136">
        <f>ROUND(G255/12,2)</f>
        <v>66.25</v>
      </c>
      <c r="I255" s="136">
        <f>H255*1.8</f>
        <v>119.25</v>
      </c>
      <c r="J255" s="137"/>
      <c r="K255" s="96"/>
      <c r="L255" s="136">
        <f>ROUND(K255/12,2)</f>
        <v>0</v>
      </c>
      <c r="M255" s="136">
        <f>L255*1.8</f>
        <v>0</v>
      </c>
      <c r="N255" s="137"/>
      <c r="O255" s="125">
        <f>SUM(C255,G255,K255)</f>
        <v>1566</v>
      </c>
      <c r="P255" s="178">
        <f>ROUND(O255/24,2)</f>
        <v>65.25</v>
      </c>
      <c r="Q255" s="178">
        <f>P255*1.8</f>
        <v>117.45</v>
      </c>
      <c r="R255" s="179">
        <v>0</v>
      </c>
    </row>
    <row r="256" spans="1:18" s="14" customFormat="1" x14ac:dyDescent="0.5">
      <c r="A256" s="58" t="s">
        <v>25</v>
      </c>
      <c r="B256" s="36"/>
      <c r="C256" s="97"/>
      <c r="D256" s="138"/>
      <c r="E256" s="138"/>
      <c r="F256" s="139"/>
      <c r="G256" s="97"/>
      <c r="H256" s="138"/>
      <c r="I256" s="138"/>
      <c r="J256" s="139"/>
      <c r="K256" s="97"/>
      <c r="L256" s="138"/>
      <c r="M256" s="138"/>
      <c r="N256" s="139"/>
      <c r="O256" s="126"/>
      <c r="P256" s="181"/>
      <c r="Q256" s="181"/>
      <c r="R256" s="182"/>
    </row>
    <row r="257" spans="1:18" s="14" customFormat="1" x14ac:dyDescent="0.5">
      <c r="A257" s="16" t="s">
        <v>41</v>
      </c>
      <c r="B257" s="33" t="s">
        <v>3</v>
      </c>
      <c r="C257" s="95">
        <f>16149</f>
        <v>16149</v>
      </c>
      <c r="D257" s="134">
        <f>ROUND(C257/18,2)</f>
        <v>897.17</v>
      </c>
      <c r="E257" s="134"/>
      <c r="F257" s="135">
        <f>SUM(D257,E258:E259)</f>
        <v>950.72</v>
      </c>
      <c r="G257" s="95">
        <f>20988</f>
        <v>20988</v>
      </c>
      <c r="H257" s="134">
        <f>ROUND(G257/18,2)</f>
        <v>1166</v>
      </c>
      <c r="I257" s="134"/>
      <c r="J257" s="135">
        <f>SUM(H257,I258:I259)</f>
        <v>1231.394</v>
      </c>
      <c r="K257" s="95">
        <f>3897</f>
        <v>3897</v>
      </c>
      <c r="L257" s="134">
        <f>ROUND(K257/18,2)</f>
        <v>216.5</v>
      </c>
      <c r="M257" s="134"/>
      <c r="N257" s="135">
        <f>SUM(L257,M258:M259)</f>
        <v>240.20599999999999</v>
      </c>
      <c r="O257" s="115">
        <f>SUM(C257,G257,K257)</f>
        <v>41034</v>
      </c>
      <c r="P257" s="174">
        <f>ROUND(O257/36,2)</f>
        <v>1139.83</v>
      </c>
      <c r="Q257" s="175" t="s">
        <v>44</v>
      </c>
      <c r="R257" s="176">
        <f>SUM(P257,Q258:Q259)</f>
        <v>1211.146</v>
      </c>
    </row>
    <row r="258" spans="1:18" s="14" customFormat="1" x14ac:dyDescent="0.5">
      <c r="A258" s="19"/>
      <c r="B258" s="33" t="s">
        <v>42</v>
      </c>
      <c r="C258" s="95">
        <f>154</f>
        <v>154</v>
      </c>
      <c r="D258" s="134">
        <f>ROUND(C258/12,2)</f>
        <v>12.83</v>
      </c>
      <c r="E258" s="134">
        <f>D258*1.8</f>
        <v>23.094000000000001</v>
      </c>
      <c r="F258" s="135"/>
      <c r="G258" s="95">
        <f>160+18</f>
        <v>178</v>
      </c>
      <c r="H258" s="134">
        <f>ROUND(G258/12,2)</f>
        <v>14.83</v>
      </c>
      <c r="I258" s="134">
        <f>H258*1.8</f>
        <v>26.693999999999999</v>
      </c>
      <c r="J258" s="135"/>
      <c r="K258" s="95"/>
      <c r="L258" s="134">
        <f>ROUND(K258/12,2)</f>
        <v>0</v>
      </c>
      <c r="M258" s="134">
        <f>L258*1.8</f>
        <v>0</v>
      </c>
      <c r="N258" s="135"/>
      <c r="O258" s="119">
        <f>SUM(C258,G258,K258)</f>
        <v>332</v>
      </c>
      <c r="P258" s="175">
        <f>ROUND(O258/24,2)</f>
        <v>13.83</v>
      </c>
      <c r="Q258" s="175">
        <f>P258*1.8</f>
        <v>24.894000000000002</v>
      </c>
      <c r="R258" s="176">
        <v>0</v>
      </c>
    </row>
    <row r="259" spans="1:18" s="14" customFormat="1" ht="22.5" thickBot="1" x14ac:dyDescent="0.55000000000000004">
      <c r="A259" s="20"/>
      <c r="B259" s="34" t="s">
        <v>43</v>
      </c>
      <c r="C259" s="96">
        <f>168+35</f>
        <v>203</v>
      </c>
      <c r="D259" s="136">
        <f>ROUND(C259/12,2)</f>
        <v>16.920000000000002</v>
      </c>
      <c r="E259" s="136">
        <f>D259*1.8</f>
        <v>30.456000000000003</v>
      </c>
      <c r="F259" s="137"/>
      <c r="G259" s="96">
        <f>258</f>
        <v>258</v>
      </c>
      <c r="H259" s="136">
        <f>ROUND(G259/12,2)</f>
        <v>21.5</v>
      </c>
      <c r="I259" s="136">
        <f>H259*1.8</f>
        <v>38.700000000000003</v>
      </c>
      <c r="J259" s="137"/>
      <c r="K259" s="96">
        <f>158</f>
        <v>158</v>
      </c>
      <c r="L259" s="136">
        <f>ROUND(K259/12,2)</f>
        <v>13.17</v>
      </c>
      <c r="M259" s="136">
        <f>L259*1.8</f>
        <v>23.706</v>
      </c>
      <c r="N259" s="137"/>
      <c r="O259" s="125">
        <f>SUM(C259,G259,K259)</f>
        <v>619</v>
      </c>
      <c r="P259" s="178">
        <f>ROUND(O259/24,2)</f>
        <v>25.79</v>
      </c>
      <c r="Q259" s="178">
        <f>P259*1.8</f>
        <v>46.421999999999997</v>
      </c>
      <c r="R259" s="179">
        <v>0</v>
      </c>
    </row>
    <row r="260" spans="1:18" x14ac:dyDescent="0.5">
      <c r="A260" s="21" t="s">
        <v>86</v>
      </c>
      <c r="B260" s="41" t="s">
        <v>3</v>
      </c>
      <c r="C260" s="98">
        <f>SUM(C5,C13,C17,C48,C52,C56,C93,C109,C113,C117,C151,C155,C177,C181,C213,C218,C237,C241,C245,C249,C253,C257)</f>
        <v>369942</v>
      </c>
      <c r="D260" s="147">
        <f>SUM(D5,D13,D17,D48,D52,D56,D93,D109,D113,D117,D151,D155,D177,D181,D213,D218,D237,D241,D245,D249,D253,D257)</f>
        <v>20552.330000000002</v>
      </c>
      <c r="E260" s="147"/>
      <c r="F260" s="148">
        <f>ROUND(SUM(D260,E261:E263),2)</f>
        <v>22205.3</v>
      </c>
      <c r="G260" s="98">
        <f>SUM(G5,G13,G17,G48,G52,G56,G93,G109,G113,G117,G151,G155,G177,G181,G213,G218,G237,G241,G245,G249,G253,G257)</f>
        <v>311068</v>
      </c>
      <c r="H260" s="147">
        <f>SUM(H5,H13,H17,H48,H52,H56,H93,H109,H113,H117,H151,H155,H177,H181,H213,H218,H237,H241,H245,H249,H253,H257)</f>
        <v>17281.539999999997</v>
      </c>
      <c r="I260" s="147"/>
      <c r="J260" s="148">
        <f>ROUND(SUM(H260,I261:I263),2)</f>
        <v>18802.52</v>
      </c>
      <c r="K260" s="98">
        <f>SUM(K5,K13,K17,K48,K52,K56,K93,K109,K113,K117,K151,K155,K177,K181,K213,K218,K237,K241,K245,K249,K253,K257)</f>
        <v>22310</v>
      </c>
      <c r="L260" s="147">
        <f>SUM(L5,L13,L17,L48,L52,L56,L93,L109,L113,L117,L151,L155,L177,L181,L213,L218,L237,L241,L245,L249,L253,L257)</f>
        <v>1239.44</v>
      </c>
      <c r="M260" s="147"/>
      <c r="N260" s="148">
        <f>ROUND(SUM(L260,M261:M263),2)</f>
        <v>1318.95</v>
      </c>
      <c r="O260" s="82">
        <f>SUM(O5,O13,O17,O48,O52,O56,O93,O109,O113,O117,O151,O155,O177,O181,O213,O218,O237,O241,O245,O249,O253,O257)</f>
        <v>703320</v>
      </c>
      <c r="P260" s="147">
        <f>SUM(P5,P13,P17,P48,P52,P56,P93,P109,P113,P117,P151,P155,P177,P181,P213,P218,P237,P241,P245,P249,P253,P257)</f>
        <v>19536.669999999998</v>
      </c>
      <c r="Q260" s="147">
        <f>SUM(Q5,Q13,Q17,Q48,Q52,Q56,Q93,Q109,Q113,Q117,Q151,Q155,Q177,Q181,Q213,Q218,Q237,Q241,Q245,Q249,Q253,Q257)</f>
        <v>0</v>
      </c>
      <c r="R260" s="148">
        <f>ROUND(SUM(P260,Q261:Q263),2)</f>
        <v>21163.47</v>
      </c>
    </row>
    <row r="261" spans="1:18" x14ac:dyDescent="0.5">
      <c r="A261" s="22"/>
      <c r="B261" s="41" t="s">
        <v>76</v>
      </c>
      <c r="C261" s="98">
        <f>SUM(C214)</f>
        <v>0</v>
      </c>
      <c r="D261" s="147">
        <f>SUM(D214)</f>
        <v>0</v>
      </c>
      <c r="E261" s="147">
        <f>SUM(E214)</f>
        <v>0</v>
      </c>
      <c r="F261" s="149">
        <v>0</v>
      </c>
      <c r="G261" s="98">
        <f>SUM(G214)</f>
        <v>0</v>
      </c>
      <c r="H261" s="147">
        <f>SUM(H214)</f>
        <v>0</v>
      </c>
      <c r="I261" s="147">
        <f>SUM(I214)</f>
        <v>0</v>
      </c>
      <c r="J261" s="149">
        <v>0</v>
      </c>
      <c r="K261" s="98">
        <f>SUM(K214)</f>
        <v>0</v>
      </c>
      <c r="L261" s="147">
        <f>SUM(L214)</f>
        <v>0</v>
      </c>
      <c r="M261" s="147">
        <f>SUM(M214)</f>
        <v>0</v>
      </c>
      <c r="N261" s="149">
        <v>0</v>
      </c>
      <c r="O261" s="82">
        <f>SUM(O214)</f>
        <v>0</v>
      </c>
      <c r="P261" s="147">
        <f>SUM(P214)</f>
        <v>0</v>
      </c>
      <c r="Q261" s="147">
        <f>SUM(Q214)</f>
        <v>0</v>
      </c>
      <c r="R261" s="149">
        <v>0</v>
      </c>
    </row>
    <row r="262" spans="1:18" x14ac:dyDescent="0.5">
      <c r="A262" s="22"/>
      <c r="B262" s="41" t="s">
        <v>42</v>
      </c>
      <c r="C262" s="99">
        <f t="shared" ref="C262:E263" si="9">SUM(C6,C14,C18,C49,C53,C57,C94,C110,C114,C118,C152,C156,C178,C182,C215,C219,C238,C242,C246,C250,C254,C258)</f>
        <v>6682</v>
      </c>
      <c r="D262" s="150">
        <f t="shared" si="9"/>
        <v>556.83000000000004</v>
      </c>
      <c r="E262" s="150">
        <f t="shared" si="9"/>
        <v>933.92400000000009</v>
      </c>
      <c r="F262" s="149">
        <v>0</v>
      </c>
      <c r="G262" s="99">
        <f t="shared" ref="G262:I263" si="10">SUM(G6,G14,G18,G49,G53,G57,G94,G110,G114,G118,G152,G156,G178,G182,G215,G219,G238,G242,G246,G250,G254,G258)</f>
        <v>5333</v>
      </c>
      <c r="H262" s="150">
        <f t="shared" si="10"/>
        <v>444.41999999999996</v>
      </c>
      <c r="I262" s="150">
        <f t="shared" si="10"/>
        <v>737.80499999999995</v>
      </c>
      <c r="J262" s="149">
        <v>0</v>
      </c>
      <c r="K262" s="99">
        <f t="shared" ref="K262:M263" si="11">SUM(K6,K14,K18,K49,K53,K57,K94,K110,K114,K118,K152,K156,K178,K182,K215,K219,K238,K242,K246,K250,K254,K258)</f>
        <v>332</v>
      </c>
      <c r="L262" s="150">
        <f t="shared" si="11"/>
        <v>27.67</v>
      </c>
      <c r="M262" s="150">
        <f t="shared" si="11"/>
        <v>46.504999999999995</v>
      </c>
      <c r="N262" s="149">
        <v>0</v>
      </c>
      <c r="O262" s="83">
        <f t="shared" ref="O262:Q263" si="12">SUM(O6,O14,O18,O49,O53,O57,O94,O110,O114,O118,O152,O156,O178,O182,O215,O219,O238,O242,O246,O250,O254,O258)</f>
        <v>12347</v>
      </c>
      <c r="P262" s="150">
        <f t="shared" si="12"/>
        <v>514.49</v>
      </c>
      <c r="Q262" s="150">
        <f t="shared" si="12"/>
        <v>859.17399999999998</v>
      </c>
      <c r="R262" s="149">
        <v>0</v>
      </c>
    </row>
    <row r="263" spans="1:18" ht="22.5" thickBot="1" x14ac:dyDescent="0.55000000000000004">
      <c r="A263" s="23"/>
      <c r="B263" s="42" t="s">
        <v>43</v>
      </c>
      <c r="C263" s="100">
        <f t="shared" si="9"/>
        <v>5197</v>
      </c>
      <c r="D263" s="151">
        <f t="shared" si="9"/>
        <v>433.09000000000003</v>
      </c>
      <c r="E263" s="151">
        <f t="shared" si="9"/>
        <v>719.04700000000003</v>
      </c>
      <c r="F263" s="152">
        <v>0</v>
      </c>
      <c r="G263" s="100">
        <f t="shared" si="10"/>
        <v>5636</v>
      </c>
      <c r="H263" s="151">
        <f t="shared" si="10"/>
        <v>469.67</v>
      </c>
      <c r="I263" s="151">
        <f t="shared" si="10"/>
        <v>783.17500000000007</v>
      </c>
      <c r="J263" s="152">
        <v>0</v>
      </c>
      <c r="K263" s="100">
        <f t="shared" si="11"/>
        <v>230</v>
      </c>
      <c r="L263" s="151">
        <f t="shared" si="11"/>
        <v>19.170000000000002</v>
      </c>
      <c r="M263" s="151">
        <f t="shared" si="11"/>
        <v>33.006</v>
      </c>
      <c r="N263" s="152">
        <v>0</v>
      </c>
      <c r="O263" s="84">
        <f t="shared" si="12"/>
        <v>11063</v>
      </c>
      <c r="P263" s="151">
        <f t="shared" si="12"/>
        <v>460.97000000000008</v>
      </c>
      <c r="Q263" s="151">
        <f t="shared" si="12"/>
        <v>767.62400000000014</v>
      </c>
      <c r="R263" s="152">
        <v>0</v>
      </c>
    </row>
    <row r="264" spans="1:18" x14ac:dyDescent="0.5">
      <c r="A264" s="24" t="s">
        <v>87</v>
      </c>
      <c r="B264" s="43"/>
      <c r="C264" s="101"/>
      <c r="D264" s="155"/>
      <c r="E264" s="155"/>
      <c r="F264" s="156"/>
      <c r="G264" s="101"/>
      <c r="H264" s="155"/>
      <c r="I264" s="171"/>
      <c r="J264" s="156"/>
      <c r="K264" s="112"/>
      <c r="L264" s="155"/>
      <c r="M264" s="171"/>
      <c r="N264" s="156"/>
      <c r="O264" s="127"/>
      <c r="P264" s="171"/>
      <c r="Q264" s="171"/>
      <c r="R264" s="188"/>
    </row>
    <row r="265" spans="1:18" x14ac:dyDescent="0.5">
      <c r="A265" s="54" t="s">
        <v>26</v>
      </c>
      <c r="B265" s="44"/>
      <c r="C265" s="95"/>
      <c r="D265" s="134"/>
      <c r="E265" s="134"/>
      <c r="F265" s="135"/>
      <c r="G265" s="95"/>
      <c r="H265" s="134"/>
      <c r="I265" s="169"/>
      <c r="J265" s="135"/>
      <c r="K265" s="78"/>
      <c r="L265" s="134"/>
      <c r="M265" s="169"/>
      <c r="N265" s="135"/>
      <c r="O265" s="122"/>
      <c r="P265" s="174"/>
      <c r="Q265" s="174"/>
      <c r="R265" s="176"/>
    </row>
    <row r="266" spans="1:18" x14ac:dyDescent="0.5">
      <c r="A266" s="55" t="s">
        <v>41</v>
      </c>
      <c r="B266" s="33" t="s">
        <v>3</v>
      </c>
      <c r="C266" s="95">
        <f>117+609+4043</f>
        <v>4769</v>
      </c>
      <c r="D266" s="134">
        <f>ROUND(C266/18,2)</f>
        <v>264.94</v>
      </c>
      <c r="E266" s="134"/>
      <c r="F266" s="135">
        <f>SUM(D266,E267:E268)</f>
        <v>264.94</v>
      </c>
      <c r="G266" s="95">
        <f>30+716+2753</f>
        <v>3499</v>
      </c>
      <c r="H266" s="134">
        <f>ROUND(G266/18,2)</f>
        <v>194.39</v>
      </c>
      <c r="I266" s="134"/>
      <c r="J266" s="135">
        <f>SUM(H266,I267:I268)</f>
        <v>194.39</v>
      </c>
      <c r="K266" s="95">
        <f>108</f>
        <v>108</v>
      </c>
      <c r="L266" s="134">
        <f>ROUND(K266/18,2)</f>
        <v>6</v>
      </c>
      <c r="M266" s="134"/>
      <c r="N266" s="135">
        <f>SUM(L266,M267:M268)</f>
        <v>6</v>
      </c>
      <c r="O266" s="115">
        <f>SUM(C266,G266,K266)</f>
        <v>8376</v>
      </c>
      <c r="P266" s="174">
        <f>ROUND(O266/36,2)</f>
        <v>232.67</v>
      </c>
      <c r="Q266" s="175" t="s">
        <v>44</v>
      </c>
      <c r="R266" s="176">
        <f>SUM(P266,Q267:Q268)</f>
        <v>232.67</v>
      </c>
    </row>
    <row r="267" spans="1:18" x14ac:dyDescent="0.5">
      <c r="A267" s="56"/>
      <c r="B267" s="33" t="s">
        <v>42</v>
      </c>
      <c r="C267" s="95"/>
      <c r="D267" s="134">
        <f>ROUND(C267/12,2)</f>
        <v>0</v>
      </c>
      <c r="E267" s="134">
        <f>D267*2</f>
        <v>0</v>
      </c>
      <c r="F267" s="135"/>
      <c r="G267" s="95"/>
      <c r="H267" s="134">
        <f>ROUND(G267/12,2)</f>
        <v>0</v>
      </c>
      <c r="I267" s="134">
        <f>H267*2</f>
        <v>0</v>
      </c>
      <c r="J267" s="135"/>
      <c r="K267" s="95"/>
      <c r="L267" s="134">
        <f>ROUND(K267/12,2)</f>
        <v>0</v>
      </c>
      <c r="M267" s="134">
        <f>L267*2</f>
        <v>0</v>
      </c>
      <c r="N267" s="135"/>
      <c r="O267" s="119">
        <f>SUM(C267,G267,K267)</f>
        <v>0</v>
      </c>
      <c r="P267" s="175">
        <f>ROUND(O267/24,2)</f>
        <v>0</v>
      </c>
      <c r="Q267" s="175">
        <f>P267*2</f>
        <v>0</v>
      </c>
      <c r="R267" s="176">
        <v>0</v>
      </c>
    </row>
    <row r="268" spans="1:18" ht="22.5" thickBot="1" x14ac:dyDescent="0.55000000000000004">
      <c r="A268" s="57"/>
      <c r="B268" s="34" t="s">
        <v>43</v>
      </c>
      <c r="C268" s="96"/>
      <c r="D268" s="136">
        <f>ROUND(C268/12,2)</f>
        <v>0</v>
      </c>
      <c r="E268" s="136">
        <f>D268*2</f>
        <v>0</v>
      </c>
      <c r="F268" s="137"/>
      <c r="G268" s="96"/>
      <c r="H268" s="136">
        <f>ROUND(G268/12,2)</f>
        <v>0</v>
      </c>
      <c r="I268" s="136">
        <f>H268*2</f>
        <v>0</v>
      </c>
      <c r="J268" s="137"/>
      <c r="K268" s="96"/>
      <c r="L268" s="136">
        <f>ROUND(K268/12,2)</f>
        <v>0</v>
      </c>
      <c r="M268" s="136">
        <f>L268*2</f>
        <v>0</v>
      </c>
      <c r="N268" s="137"/>
      <c r="O268" s="125">
        <f>SUM(C268,G268,K268)</f>
        <v>0</v>
      </c>
      <c r="P268" s="178">
        <f>ROUND(O268/24,2)</f>
        <v>0</v>
      </c>
      <c r="Q268" s="178">
        <f>P268*2</f>
        <v>0</v>
      </c>
      <c r="R268" s="179">
        <v>0</v>
      </c>
    </row>
    <row r="269" spans="1:18" x14ac:dyDescent="0.5">
      <c r="A269" s="58" t="s">
        <v>27</v>
      </c>
      <c r="B269" s="36"/>
      <c r="C269" s="97"/>
      <c r="D269" s="138"/>
      <c r="E269" s="138"/>
      <c r="F269" s="139"/>
      <c r="G269" s="97"/>
      <c r="H269" s="138"/>
      <c r="I269" s="168"/>
      <c r="J269" s="139"/>
      <c r="K269" s="111"/>
      <c r="L269" s="138"/>
      <c r="M269" s="168"/>
      <c r="N269" s="139"/>
      <c r="O269" s="124"/>
      <c r="P269" s="183"/>
      <c r="Q269" s="183"/>
      <c r="R269" s="182"/>
    </row>
    <row r="270" spans="1:18" x14ac:dyDescent="0.5">
      <c r="A270" s="55" t="s">
        <v>41</v>
      </c>
      <c r="B270" s="33" t="s">
        <v>3</v>
      </c>
      <c r="C270" s="95">
        <f>23139+1685+2614</f>
        <v>27438</v>
      </c>
      <c r="D270" s="134">
        <f>ROUND(C270/18,2)</f>
        <v>1524.33</v>
      </c>
      <c r="E270" s="134"/>
      <c r="F270" s="135">
        <f>SUM(D270,E271:E272)</f>
        <v>1524.33</v>
      </c>
      <c r="G270" s="95">
        <f>21864+756+2145</f>
        <v>24765</v>
      </c>
      <c r="H270" s="134">
        <f>ROUND(G270/18,2)</f>
        <v>1375.83</v>
      </c>
      <c r="I270" s="134"/>
      <c r="J270" s="135">
        <f>SUM(H270,I271:I272)</f>
        <v>1375.83</v>
      </c>
      <c r="K270" s="95">
        <f>216</f>
        <v>216</v>
      </c>
      <c r="L270" s="134">
        <f>ROUND(K270/18,2)</f>
        <v>12</v>
      </c>
      <c r="M270" s="134"/>
      <c r="N270" s="135">
        <f>SUM(L270,M271:M272)</f>
        <v>12</v>
      </c>
      <c r="O270" s="115">
        <f>SUM(C270,G270,K270)</f>
        <v>52419</v>
      </c>
      <c r="P270" s="174">
        <f>ROUND(O270/36,2)</f>
        <v>1456.08</v>
      </c>
      <c r="Q270" s="175" t="s">
        <v>44</v>
      </c>
      <c r="R270" s="176">
        <f>SUM(P270,Q271:Q272)</f>
        <v>1456.08</v>
      </c>
    </row>
    <row r="271" spans="1:18" x14ac:dyDescent="0.5">
      <c r="A271" s="56"/>
      <c r="B271" s="33" t="s">
        <v>42</v>
      </c>
      <c r="C271" s="95"/>
      <c r="D271" s="134">
        <f>ROUND(C271/12,2)</f>
        <v>0</v>
      </c>
      <c r="E271" s="134">
        <f>D271*2</f>
        <v>0</v>
      </c>
      <c r="F271" s="135"/>
      <c r="G271" s="95"/>
      <c r="H271" s="134">
        <f>ROUND(G271/12,2)</f>
        <v>0</v>
      </c>
      <c r="I271" s="134">
        <f>H271*2</f>
        <v>0</v>
      </c>
      <c r="J271" s="135"/>
      <c r="K271" s="95"/>
      <c r="L271" s="134">
        <f>ROUND(K271/12,2)</f>
        <v>0</v>
      </c>
      <c r="M271" s="134">
        <f>L271*2</f>
        <v>0</v>
      </c>
      <c r="N271" s="135"/>
      <c r="O271" s="119">
        <f>SUM(C271,G271,K271)</f>
        <v>0</v>
      </c>
      <c r="P271" s="175">
        <f>ROUND(O271/24,2)</f>
        <v>0</v>
      </c>
      <c r="Q271" s="175">
        <f>P271*2</f>
        <v>0</v>
      </c>
      <c r="R271" s="176">
        <v>0</v>
      </c>
    </row>
    <row r="272" spans="1:18" ht="22.5" thickBot="1" x14ac:dyDescent="0.55000000000000004">
      <c r="A272" s="57"/>
      <c r="B272" s="34" t="s">
        <v>43</v>
      </c>
      <c r="C272" s="96"/>
      <c r="D272" s="136">
        <f>ROUND(C272/12,2)</f>
        <v>0</v>
      </c>
      <c r="E272" s="136">
        <f>D272*2</f>
        <v>0</v>
      </c>
      <c r="F272" s="137"/>
      <c r="G272" s="96"/>
      <c r="H272" s="136">
        <f>ROUND(G272/12,2)</f>
        <v>0</v>
      </c>
      <c r="I272" s="136">
        <f>H272*2</f>
        <v>0</v>
      </c>
      <c r="J272" s="137"/>
      <c r="K272" s="96"/>
      <c r="L272" s="136">
        <f>ROUND(K272/12,2)</f>
        <v>0</v>
      </c>
      <c r="M272" s="136">
        <f>L272*2</f>
        <v>0</v>
      </c>
      <c r="N272" s="137"/>
      <c r="O272" s="125">
        <f>SUM(C272,G272,K272)</f>
        <v>0</v>
      </c>
      <c r="P272" s="178">
        <f>ROUND(O272/24,2)</f>
        <v>0</v>
      </c>
      <c r="Q272" s="178">
        <f>P272*2</f>
        <v>0</v>
      </c>
      <c r="R272" s="179">
        <v>0</v>
      </c>
    </row>
    <row r="273" spans="1:18" s="14" customFormat="1" x14ac:dyDescent="0.5">
      <c r="A273" s="58" t="s">
        <v>28</v>
      </c>
      <c r="B273" s="36"/>
      <c r="C273" s="97"/>
      <c r="D273" s="138"/>
      <c r="E273" s="138"/>
      <c r="F273" s="139"/>
      <c r="G273" s="97"/>
      <c r="H273" s="138"/>
      <c r="I273" s="168"/>
      <c r="J273" s="139"/>
      <c r="K273" s="111"/>
      <c r="L273" s="138"/>
      <c r="M273" s="168"/>
      <c r="N273" s="139"/>
      <c r="O273" s="124"/>
      <c r="P273" s="183"/>
      <c r="Q273" s="183"/>
      <c r="R273" s="182"/>
    </row>
    <row r="274" spans="1:18" s="14" customFormat="1" x14ac:dyDescent="0.5">
      <c r="A274" s="16" t="s">
        <v>41</v>
      </c>
      <c r="B274" s="33" t="s">
        <v>3</v>
      </c>
      <c r="C274" s="95">
        <f>333+1808+2599+62</f>
        <v>4802</v>
      </c>
      <c r="D274" s="134">
        <f>ROUND(C274/18,2)</f>
        <v>266.77999999999997</v>
      </c>
      <c r="E274" s="134"/>
      <c r="F274" s="135">
        <f>SUM(D274,E275:E276)</f>
        <v>266.77999999999997</v>
      </c>
      <c r="G274" s="95">
        <f>485+1316+1905</f>
        <v>3706</v>
      </c>
      <c r="H274" s="134">
        <f>ROUND(G274/18,2)</f>
        <v>205.89</v>
      </c>
      <c r="I274" s="134"/>
      <c r="J274" s="135">
        <f>SUM(H274,I275:I276)</f>
        <v>205.89</v>
      </c>
      <c r="K274" s="95"/>
      <c r="L274" s="134">
        <f>ROUND(K274/18,2)</f>
        <v>0</v>
      </c>
      <c r="M274" s="134"/>
      <c r="N274" s="135">
        <f>SUM(L274,M275:M276)</f>
        <v>0</v>
      </c>
      <c r="O274" s="115">
        <f>SUM(C274,G274,K274)</f>
        <v>8508</v>
      </c>
      <c r="P274" s="174">
        <f>ROUND(O274/36,2)</f>
        <v>236.33</v>
      </c>
      <c r="Q274" s="175" t="s">
        <v>44</v>
      </c>
      <c r="R274" s="176">
        <f>SUM(P274,Q275:Q276)</f>
        <v>236.33</v>
      </c>
    </row>
    <row r="275" spans="1:18" s="14" customFormat="1" x14ac:dyDescent="0.5">
      <c r="A275" s="19"/>
      <c r="B275" s="33" t="s">
        <v>42</v>
      </c>
      <c r="C275" s="95"/>
      <c r="D275" s="134">
        <f>ROUND(C275/12,2)</f>
        <v>0</v>
      </c>
      <c r="E275" s="134">
        <f>D275*2</f>
        <v>0</v>
      </c>
      <c r="F275" s="135"/>
      <c r="G275" s="95"/>
      <c r="H275" s="134">
        <f>ROUND(G275/12,2)</f>
        <v>0</v>
      </c>
      <c r="I275" s="134">
        <f>H275*2</f>
        <v>0</v>
      </c>
      <c r="J275" s="135"/>
      <c r="K275" s="95"/>
      <c r="L275" s="134">
        <f>ROUND(K275/12,2)</f>
        <v>0</v>
      </c>
      <c r="M275" s="134">
        <f>L275*2</f>
        <v>0</v>
      </c>
      <c r="N275" s="135"/>
      <c r="O275" s="119">
        <f>SUM(C275,G275,K275)</f>
        <v>0</v>
      </c>
      <c r="P275" s="175">
        <f>ROUND(O275/24,2)</f>
        <v>0</v>
      </c>
      <c r="Q275" s="175">
        <f>P275*2</f>
        <v>0</v>
      </c>
      <c r="R275" s="176">
        <v>0</v>
      </c>
    </row>
    <row r="276" spans="1:18" ht="22.5" thickBot="1" x14ac:dyDescent="0.55000000000000004">
      <c r="A276" s="20"/>
      <c r="B276" s="34" t="s">
        <v>43</v>
      </c>
      <c r="C276" s="96"/>
      <c r="D276" s="136">
        <f>ROUND(C276/12,2)</f>
        <v>0</v>
      </c>
      <c r="E276" s="136">
        <f>D276*2</f>
        <v>0</v>
      </c>
      <c r="F276" s="137"/>
      <c r="G276" s="96"/>
      <c r="H276" s="136">
        <f>ROUND(G276/12,2)</f>
        <v>0</v>
      </c>
      <c r="I276" s="136">
        <f>H276*2</f>
        <v>0</v>
      </c>
      <c r="J276" s="137"/>
      <c r="K276" s="96"/>
      <c r="L276" s="136">
        <f>ROUND(K276/12,2)</f>
        <v>0</v>
      </c>
      <c r="M276" s="136">
        <f>L276*2</f>
        <v>0</v>
      </c>
      <c r="N276" s="137"/>
      <c r="O276" s="125">
        <f>SUM(C276,G276,K276)</f>
        <v>0</v>
      </c>
      <c r="P276" s="178">
        <f>ROUND(O276/24,2)</f>
        <v>0</v>
      </c>
      <c r="Q276" s="178">
        <f>P276*2</f>
        <v>0</v>
      </c>
      <c r="R276" s="179">
        <v>0</v>
      </c>
    </row>
    <row r="277" spans="1:18" x14ac:dyDescent="0.5">
      <c r="A277" s="21" t="s">
        <v>88</v>
      </c>
      <c r="B277" s="41" t="s">
        <v>3</v>
      </c>
      <c r="C277" s="98">
        <f t="shared" ref="C277:D279" si="13">SUM(C266,C270,C274)</f>
        <v>37009</v>
      </c>
      <c r="D277" s="147">
        <f t="shared" si="13"/>
        <v>2056.0500000000002</v>
      </c>
      <c r="E277" s="150"/>
      <c r="F277" s="148">
        <f>ROUND(SUM(D277,E278:E279),2)</f>
        <v>2056.0500000000002</v>
      </c>
      <c r="G277" s="98">
        <f t="shared" ref="G277:H279" si="14">SUM(G266,G270,G274)</f>
        <v>31970</v>
      </c>
      <c r="H277" s="147">
        <f t="shared" si="14"/>
        <v>1776.1099999999997</v>
      </c>
      <c r="I277" s="150"/>
      <c r="J277" s="148">
        <f>ROUND(SUM(H277,I278:I279),2)</f>
        <v>1776.11</v>
      </c>
      <c r="K277" s="98">
        <f t="shared" ref="K277:L279" si="15">SUM(K266,K270,K274)</f>
        <v>324</v>
      </c>
      <c r="L277" s="147">
        <f t="shared" si="15"/>
        <v>18</v>
      </c>
      <c r="M277" s="150"/>
      <c r="N277" s="148">
        <f>ROUND(SUM(L277,M278:M279),2)</f>
        <v>18</v>
      </c>
      <c r="O277" s="82">
        <f t="shared" ref="O277:P279" si="16">SUM(O266,O270,O274)</f>
        <v>69303</v>
      </c>
      <c r="P277" s="147">
        <f t="shared" si="16"/>
        <v>1925.08</v>
      </c>
      <c r="Q277" s="150"/>
      <c r="R277" s="148">
        <f>ROUND(SUM(P277,Q278:Q279),2)</f>
        <v>1925.08</v>
      </c>
    </row>
    <row r="278" spans="1:18" x14ac:dyDescent="0.5">
      <c r="A278" s="22"/>
      <c r="B278" s="41" t="s">
        <v>42</v>
      </c>
      <c r="C278" s="99">
        <f t="shared" si="13"/>
        <v>0</v>
      </c>
      <c r="D278" s="150">
        <f t="shared" si="13"/>
        <v>0</v>
      </c>
      <c r="E278" s="150">
        <f>SUM(E267,E271,E275)</f>
        <v>0</v>
      </c>
      <c r="F278" s="149">
        <v>0</v>
      </c>
      <c r="G278" s="99">
        <f t="shared" si="14"/>
        <v>0</v>
      </c>
      <c r="H278" s="150">
        <f t="shared" si="14"/>
        <v>0</v>
      </c>
      <c r="I278" s="150">
        <f>SUM(I267,I271,I275)</f>
        <v>0</v>
      </c>
      <c r="J278" s="149">
        <v>0</v>
      </c>
      <c r="K278" s="99">
        <f t="shared" si="15"/>
        <v>0</v>
      </c>
      <c r="L278" s="150">
        <f t="shared" si="15"/>
        <v>0</v>
      </c>
      <c r="M278" s="150">
        <f>SUM(M267,M271,M275)</f>
        <v>0</v>
      </c>
      <c r="N278" s="149">
        <v>0</v>
      </c>
      <c r="O278" s="83">
        <f t="shared" si="16"/>
        <v>0</v>
      </c>
      <c r="P278" s="150">
        <f t="shared" si="16"/>
        <v>0</v>
      </c>
      <c r="Q278" s="150">
        <f>SUM(Q267,Q271,Q275)</f>
        <v>0</v>
      </c>
      <c r="R278" s="149">
        <v>0</v>
      </c>
    </row>
    <row r="279" spans="1:18" ht="22.5" thickBot="1" x14ac:dyDescent="0.55000000000000004">
      <c r="A279" s="23"/>
      <c r="B279" s="42" t="s">
        <v>43</v>
      </c>
      <c r="C279" s="100">
        <f t="shared" si="13"/>
        <v>0</v>
      </c>
      <c r="D279" s="151">
        <f t="shared" si="13"/>
        <v>0</v>
      </c>
      <c r="E279" s="151">
        <f>SUM(E268,E272,E276)</f>
        <v>0</v>
      </c>
      <c r="F279" s="152">
        <v>0</v>
      </c>
      <c r="G279" s="100">
        <f t="shared" si="14"/>
        <v>0</v>
      </c>
      <c r="H279" s="151">
        <f>SUM(H268,H272,H276)</f>
        <v>0</v>
      </c>
      <c r="I279" s="151">
        <f>SUM(I268,I272,I276)</f>
        <v>0</v>
      </c>
      <c r="J279" s="152">
        <v>0</v>
      </c>
      <c r="K279" s="100">
        <f t="shared" si="15"/>
        <v>0</v>
      </c>
      <c r="L279" s="151">
        <f t="shared" si="15"/>
        <v>0</v>
      </c>
      <c r="M279" s="151">
        <f>SUM(M268,M272,M276)</f>
        <v>0</v>
      </c>
      <c r="N279" s="152">
        <v>0</v>
      </c>
      <c r="O279" s="84">
        <f t="shared" si="16"/>
        <v>0</v>
      </c>
      <c r="P279" s="151">
        <f t="shared" si="16"/>
        <v>0</v>
      </c>
      <c r="Q279" s="151">
        <f>SUM(Q268,Q272,Q276)</f>
        <v>0</v>
      </c>
      <c r="R279" s="152">
        <v>0</v>
      </c>
    </row>
    <row r="280" spans="1:18" x14ac:dyDescent="0.5">
      <c r="A280" s="49"/>
      <c r="B280" s="50"/>
      <c r="C280" s="85"/>
      <c r="D280" s="153"/>
      <c r="E280" s="153"/>
      <c r="F280" s="153"/>
      <c r="G280" s="85"/>
      <c r="H280" s="153"/>
      <c r="I280" s="153"/>
      <c r="J280" s="153"/>
      <c r="K280" s="85"/>
      <c r="L280" s="153"/>
      <c r="M280" s="153"/>
      <c r="N280" s="153"/>
      <c r="O280" s="85"/>
      <c r="P280" s="153"/>
      <c r="Q280" s="153"/>
      <c r="R280" s="153"/>
    </row>
    <row r="281" spans="1:18" x14ac:dyDescent="0.5">
      <c r="A281" s="51"/>
      <c r="B281" s="52"/>
      <c r="C281" s="86"/>
      <c r="D281" s="154"/>
      <c r="E281" s="154"/>
      <c r="F281" s="154"/>
      <c r="G281" s="86"/>
      <c r="H281" s="154"/>
      <c r="I281" s="154"/>
      <c r="J281" s="154"/>
      <c r="K281" s="86"/>
      <c r="L281" s="154"/>
      <c r="M281" s="154"/>
      <c r="N281" s="154"/>
      <c r="O281" s="86"/>
      <c r="P281" s="154"/>
      <c r="Q281" s="154"/>
      <c r="R281" s="154"/>
    </row>
    <row r="282" spans="1:18" x14ac:dyDescent="0.5">
      <c r="A282" s="24" t="s">
        <v>89</v>
      </c>
      <c r="B282" s="43"/>
      <c r="C282" s="101"/>
      <c r="D282" s="155"/>
      <c r="E282" s="155"/>
      <c r="F282" s="156"/>
      <c r="G282" s="101"/>
      <c r="H282" s="155"/>
      <c r="I282" s="171"/>
      <c r="J282" s="156"/>
      <c r="K282" s="112"/>
      <c r="L282" s="155"/>
      <c r="M282" s="171"/>
      <c r="N282" s="156"/>
      <c r="O282" s="127"/>
      <c r="P282" s="171"/>
      <c r="Q282" s="171"/>
      <c r="R282" s="188"/>
    </row>
    <row r="283" spans="1:18" x14ac:dyDescent="0.5">
      <c r="A283" s="54" t="s">
        <v>29</v>
      </c>
      <c r="B283" s="44"/>
      <c r="C283" s="95"/>
      <c r="D283" s="134"/>
      <c r="E283" s="134"/>
      <c r="F283" s="135"/>
      <c r="G283" s="95"/>
      <c r="H283" s="134"/>
      <c r="I283" s="169"/>
      <c r="J283" s="135"/>
      <c r="K283" s="78"/>
      <c r="L283" s="134"/>
      <c r="M283" s="169"/>
      <c r="N283" s="135"/>
      <c r="O283" s="122"/>
      <c r="P283" s="174"/>
      <c r="Q283" s="174"/>
      <c r="R283" s="176"/>
    </row>
    <row r="284" spans="1:18" x14ac:dyDescent="0.5">
      <c r="A284" s="55" t="s">
        <v>41</v>
      </c>
      <c r="B284" s="33" t="s">
        <v>3</v>
      </c>
      <c r="C284" s="95">
        <f>46+4+1087+213+18426+1029</f>
        <v>20805</v>
      </c>
      <c r="D284" s="134">
        <f>ROUND(C284/18,2)</f>
        <v>1155.83</v>
      </c>
      <c r="E284" s="134"/>
      <c r="F284" s="135">
        <f>SUM(D284,E285:E286)</f>
        <v>1155.83</v>
      </c>
      <c r="G284" s="95">
        <f>63+6+2+441+150+16016+2391</f>
        <v>19069</v>
      </c>
      <c r="H284" s="134">
        <f>ROUND(G284/18,2)</f>
        <v>1059.3900000000001</v>
      </c>
      <c r="I284" s="134"/>
      <c r="J284" s="135">
        <f>SUM(H284,I285:I286)</f>
        <v>1059.3900000000001</v>
      </c>
      <c r="K284" s="95">
        <f>821+150+10</f>
        <v>981</v>
      </c>
      <c r="L284" s="134">
        <f>ROUND(K284/18,2)</f>
        <v>54.5</v>
      </c>
      <c r="M284" s="134"/>
      <c r="N284" s="135">
        <f>SUM(L284,M285:M286)</f>
        <v>54.5</v>
      </c>
      <c r="O284" s="115">
        <f>SUM(C284,G284,K284)</f>
        <v>40855</v>
      </c>
      <c r="P284" s="174">
        <f>ROUND(O284/36,2)</f>
        <v>1134.8599999999999</v>
      </c>
      <c r="Q284" s="175" t="s">
        <v>44</v>
      </c>
      <c r="R284" s="176">
        <f>SUM(P284,Q285:Q286)</f>
        <v>1134.8599999999999</v>
      </c>
    </row>
    <row r="285" spans="1:18" x14ac:dyDescent="0.5">
      <c r="A285" s="56"/>
      <c r="B285" s="33" t="s">
        <v>42</v>
      </c>
      <c r="C285" s="95"/>
      <c r="D285" s="134">
        <f>ROUND(C285/12,2)</f>
        <v>0</v>
      </c>
      <c r="E285" s="134">
        <f>D285*2</f>
        <v>0</v>
      </c>
      <c r="F285" s="135"/>
      <c r="G285" s="95"/>
      <c r="H285" s="134">
        <f>ROUND(G285/12,2)</f>
        <v>0</v>
      </c>
      <c r="I285" s="134">
        <f>H285*2</f>
        <v>0</v>
      </c>
      <c r="J285" s="135"/>
      <c r="K285" s="95"/>
      <c r="L285" s="134">
        <f>ROUND(K285/12,2)</f>
        <v>0</v>
      </c>
      <c r="M285" s="134">
        <f>L285*2</f>
        <v>0</v>
      </c>
      <c r="N285" s="135"/>
      <c r="O285" s="119">
        <f>SUM(C285,G285,K285)</f>
        <v>0</v>
      </c>
      <c r="P285" s="175">
        <f>ROUND(O285/24,2)</f>
        <v>0</v>
      </c>
      <c r="Q285" s="175">
        <f>P285*2</f>
        <v>0</v>
      </c>
      <c r="R285" s="176">
        <v>0</v>
      </c>
    </row>
    <row r="286" spans="1:18" ht="22.5" thickBot="1" x14ac:dyDescent="0.55000000000000004">
      <c r="A286" s="57"/>
      <c r="B286" s="34" t="s">
        <v>43</v>
      </c>
      <c r="C286" s="96"/>
      <c r="D286" s="136">
        <f>ROUND(C286/12,2)</f>
        <v>0</v>
      </c>
      <c r="E286" s="136">
        <f>D286*2</f>
        <v>0</v>
      </c>
      <c r="F286" s="137"/>
      <c r="G286" s="96"/>
      <c r="H286" s="136">
        <f>ROUND(G286/12,2)</f>
        <v>0</v>
      </c>
      <c r="I286" s="136">
        <f>H286*2</f>
        <v>0</v>
      </c>
      <c r="J286" s="137"/>
      <c r="K286" s="96"/>
      <c r="L286" s="136">
        <f>ROUND(K286/12,2)</f>
        <v>0</v>
      </c>
      <c r="M286" s="136">
        <f>L286*2</f>
        <v>0</v>
      </c>
      <c r="N286" s="137"/>
      <c r="O286" s="125">
        <f>SUM(C286,G286,K286)</f>
        <v>0</v>
      </c>
      <c r="P286" s="178">
        <f>ROUND(O286/24,2)</f>
        <v>0</v>
      </c>
      <c r="Q286" s="178">
        <f>P286*2</f>
        <v>0</v>
      </c>
      <c r="R286" s="179">
        <v>0</v>
      </c>
    </row>
    <row r="287" spans="1:18" s="14" customFormat="1" x14ac:dyDescent="0.5">
      <c r="A287" s="58" t="s">
        <v>30</v>
      </c>
      <c r="B287" s="45"/>
      <c r="C287" s="97"/>
      <c r="D287" s="138"/>
      <c r="E287" s="138"/>
      <c r="F287" s="139"/>
      <c r="G287" s="97"/>
      <c r="H287" s="138"/>
      <c r="I287" s="168"/>
      <c r="J287" s="139"/>
      <c r="K287" s="97"/>
      <c r="L287" s="138"/>
      <c r="M287" s="168"/>
      <c r="N287" s="139"/>
      <c r="O287" s="126"/>
      <c r="P287" s="183"/>
      <c r="Q287" s="183"/>
      <c r="R287" s="182"/>
    </row>
    <row r="288" spans="1:18" s="14" customFormat="1" x14ac:dyDescent="0.5">
      <c r="A288" s="55" t="s">
        <v>41</v>
      </c>
      <c r="B288" s="33" t="s">
        <v>3</v>
      </c>
      <c r="C288" s="95">
        <f>865+91</f>
        <v>956</v>
      </c>
      <c r="D288" s="134">
        <f>ROUND(C288/18,2)</f>
        <v>53.11</v>
      </c>
      <c r="E288" s="134"/>
      <c r="F288" s="135">
        <f>SUM(D288,E289:E290)</f>
        <v>53.11</v>
      </c>
      <c r="G288" s="95">
        <f>797+77</f>
        <v>874</v>
      </c>
      <c r="H288" s="134">
        <f>ROUND(G288/18,2)</f>
        <v>48.56</v>
      </c>
      <c r="I288" s="134"/>
      <c r="J288" s="135">
        <f>SUM(H288,I289:I290)</f>
        <v>48.56</v>
      </c>
      <c r="K288" s="95"/>
      <c r="L288" s="134">
        <f>ROUND(K288/18,2)</f>
        <v>0</v>
      </c>
      <c r="M288" s="134"/>
      <c r="N288" s="135">
        <f>SUM(L288,M289:M290)</f>
        <v>0</v>
      </c>
      <c r="O288" s="115">
        <f>SUM(C288,G288,K288)</f>
        <v>1830</v>
      </c>
      <c r="P288" s="174">
        <f>ROUND(O288/36,2)</f>
        <v>50.83</v>
      </c>
      <c r="Q288" s="175" t="s">
        <v>44</v>
      </c>
      <c r="R288" s="176">
        <f>SUM(P288,Q289:Q290)</f>
        <v>50.83</v>
      </c>
    </row>
    <row r="289" spans="1:18" s="14" customFormat="1" x14ac:dyDescent="0.5">
      <c r="A289" s="55"/>
      <c r="B289" s="33" t="s">
        <v>42</v>
      </c>
      <c r="C289" s="95"/>
      <c r="D289" s="134">
        <f>ROUND(C289/12,2)</f>
        <v>0</v>
      </c>
      <c r="E289" s="134">
        <f>D289*2</f>
        <v>0</v>
      </c>
      <c r="F289" s="135"/>
      <c r="G289" s="95"/>
      <c r="H289" s="134">
        <f>ROUND(G289/12,2)</f>
        <v>0</v>
      </c>
      <c r="I289" s="134">
        <f>H289*2</f>
        <v>0</v>
      </c>
      <c r="J289" s="135"/>
      <c r="K289" s="95"/>
      <c r="L289" s="134">
        <f>ROUND(K289/12,2)</f>
        <v>0</v>
      </c>
      <c r="M289" s="134">
        <f>L289*2</f>
        <v>0</v>
      </c>
      <c r="N289" s="135"/>
      <c r="O289" s="119">
        <f>SUM(C289,G289,K289)</f>
        <v>0</v>
      </c>
      <c r="P289" s="175">
        <f>ROUND(O289/24,2)</f>
        <v>0</v>
      </c>
      <c r="Q289" s="175">
        <f>P289*2</f>
        <v>0</v>
      </c>
      <c r="R289" s="176">
        <v>0</v>
      </c>
    </row>
    <row r="290" spans="1:18" s="14" customFormat="1" ht="22.5" thickBot="1" x14ac:dyDescent="0.55000000000000004">
      <c r="A290" s="60"/>
      <c r="B290" s="34" t="s">
        <v>43</v>
      </c>
      <c r="C290" s="96"/>
      <c r="D290" s="136">
        <f>ROUND(C290/12,2)</f>
        <v>0</v>
      </c>
      <c r="E290" s="136">
        <f>D290*2</f>
        <v>0</v>
      </c>
      <c r="F290" s="137"/>
      <c r="G290" s="96"/>
      <c r="H290" s="136">
        <f>ROUND(G290/12,2)</f>
        <v>0</v>
      </c>
      <c r="I290" s="136">
        <f>H290*2</f>
        <v>0</v>
      </c>
      <c r="J290" s="137"/>
      <c r="K290" s="96"/>
      <c r="L290" s="136">
        <f>ROUND(K290/12,2)</f>
        <v>0</v>
      </c>
      <c r="M290" s="136">
        <f>L290*2</f>
        <v>0</v>
      </c>
      <c r="N290" s="137"/>
      <c r="O290" s="125">
        <f>SUM(C290,G290,K290)</f>
        <v>0</v>
      </c>
      <c r="P290" s="178">
        <f>ROUND(O290/24,2)</f>
        <v>0</v>
      </c>
      <c r="Q290" s="178">
        <f>P290*2</f>
        <v>0</v>
      </c>
      <c r="R290" s="179">
        <v>0</v>
      </c>
    </row>
    <row r="291" spans="1:18" s="14" customFormat="1" x14ac:dyDescent="0.5">
      <c r="A291" s="72" t="s">
        <v>101</v>
      </c>
      <c r="B291" s="45"/>
      <c r="C291" s="97"/>
      <c r="D291" s="138"/>
      <c r="E291" s="138"/>
      <c r="F291" s="139"/>
      <c r="G291" s="97"/>
      <c r="H291" s="138"/>
      <c r="I291" s="168"/>
      <c r="J291" s="139"/>
      <c r="K291" s="97"/>
      <c r="L291" s="138"/>
      <c r="M291" s="168"/>
      <c r="N291" s="139"/>
      <c r="O291" s="126"/>
      <c r="P291" s="183"/>
      <c r="Q291" s="183"/>
      <c r="R291" s="182"/>
    </row>
    <row r="292" spans="1:18" s="14" customFormat="1" x14ac:dyDescent="0.5">
      <c r="A292" s="16" t="s">
        <v>41</v>
      </c>
      <c r="B292" s="33" t="s">
        <v>3</v>
      </c>
      <c r="C292" s="95">
        <v>5328</v>
      </c>
      <c r="D292" s="134">
        <f>ROUND(C292/18,2)</f>
        <v>296</v>
      </c>
      <c r="E292" s="134"/>
      <c r="F292" s="135">
        <f>SUM(D292,E293:E294)</f>
        <v>296</v>
      </c>
      <c r="G292" s="95">
        <v>4371</v>
      </c>
      <c r="H292" s="134">
        <f>ROUND(G292/18,2)</f>
        <v>242.83</v>
      </c>
      <c r="I292" s="134"/>
      <c r="J292" s="135">
        <f>SUM(H292,I293:I294)</f>
        <v>242.83</v>
      </c>
      <c r="K292" s="95"/>
      <c r="L292" s="134">
        <f>ROUND(K292/18,2)</f>
        <v>0</v>
      </c>
      <c r="M292" s="134"/>
      <c r="N292" s="135">
        <f>SUM(L292,M293:M294)</f>
        <v>0</v>
      </c>
      <c r="O292" s="115">
        <f>SUM(C292,G292,K292)</f>
        <v>9699</v>
      </c>
      <c r="P292" s="174">
        <f>ROUND(O292/36,2)</f>
        <v>269.42</v>
      </c>
      <c r="Q292" s="175" t="s">
        <v>44</v>
      </c>
      <c r="R292" s="176">
        <f>SUM(P292,Q293:Q294)</f>
        <v>269.42</v>
      </c>
    </row>
    <row r="293" spans="1:18" s="14" customFormat="1" x14ac:dyDescent="0.5">
      <c r="A293" s="16"/>
      <c r="B293" s="33" t="s">
        <v>42</v>
      </c>
      <c r="C293" s="95"/>
      <c r="D293" s="134">
        <f>ROUND(C293/12,2)</f>
        <v>0</v>
      </c>
      <c r="E293" s="134">
        <f>D293*2</f>
        <v>0</v>
      </c>
      <c r="F293" s="135"/>
      <c r="G293" s="95"/>
      <c r="H293" s="134">
        <f>ROUND(G293/12,2)</f>
        <v>0</v>
      </c>
      <c r="I293" s="134">
        <f>H293*2</f>
        <v>0</v>
      </c>
      <c r="J293" s="135"/>
      <c r="K293" s="95"/>
      <c r="L293" s="134">
        <f>ROUND(K293/12,2)</f>
        <v>0</v>
      </c>
      <c r="M293" s="134">
        <f>L293*2</f>
        <v>0</v>
      </c>
      <c r="N293" s="135"/>
      <c r="O293" s="119">
        <f>SUM(C293,G293,K293)</f>
        <v>0</v>
      </c>
      <c r="P293" s="175">
        <f>ROUND(O293/24,2)</f>
        <v>0</v>
      </c>
      <c r="Q293" s="175">
        <f>P293*2</f>
        <v>0</v>
      </c>
      <c r="R293" s="176">
        <v>0</v>
      </c>
    </row>
    <row r="294" spans="1:18" s="14" customFormat="1" ht="22.5" thickBot="1" x14ac:dyDescent="0.55000000000000004">
      <c r="A294" s="17"/>
      <c r="B294" s="34" t="s">
        <v>43</v>
      </c>
      <c r="C294" s="96"/>
      <c r="D294" s="136">
        <f>ROUND(C294/12,2)</f>
        <v>0</v>
      </c>
      <c r="E294" s="136">
        <f>D294*2</f>
        <v>0</v>
      </c>
      <c r="F294" s="137"/>
      <c r="G294" s="96"/>
      <c r="H294" s="136">
        <f>ROUND(G294/12,2)</f>
        <v>0</v>
      </c>
      <c r="I294" s="136">
        <f>H294*2</f>
        <v>0</v>
      </c>
      <c r="J294" s="137"/>
      <c r="K294" s="96"/>
      <c r="L294" s="136">
        <f>ROUND(K294/12,2)</f>
        <v>0</v>
      </c>
      <c r="M294" s="136">
        <f>L294*2</f>
        <v>0</v>
      </c>
      <c r="N294" s="137"/>
      <c r="O294" s="125">
        <f>SUM(C294,G294,K294)</f>
        <v>0</v>
      </c>
      <c r="P294" s="178">
        <f>ROUND(O294/24,2)</f>
        <v>0</v>
      </c>
      <c r="Q294" s="178">
        <f>P294*2</f>
        <v>0</v>
      </c>
      <c r="R294" s="179">
        <v>0</v>
      </c>
    </row>
    <row r="295" spans="1:18" s="14" customFormat="1" x14ac:dyDescent="0.5">
      <c r="A295" s="21" t="s">
        <v>90</v>
      </c>
      <c r="B295" s="41" t="s">
        <v>3</v>
      </c>
      <c r="C295" s="98">
        <f t="shared" ref="C295:D297" si="17">SUM(C284,C292)</f>
        <v>26133</v>
      </c>
      <c r="D295" s="147">
        <f t="shared" si="17"/>
        <v>1451.83</v>
      </c>
      <c r="E295" s="150"/>
      <c r="F295" s="148">
        <f>ROUND(SUM(D295,E296:E297),2)</f>
        <v>1451.83</v>
      </c>
      <c r="G295" s="98">
        <f t="shared" ref="G295:H297" si="18">SUM(G284,G292)</f>
        <v>23440</v>
      </c>
      <c r="H295" s="147">
        <f t="shared" si="18"/>
        <v>1302.22</v>
      </c>
      <c r="I295" s="150"/>
      <c r="J295" s="148">
        <f>ROUND(SUM(H295,I296:I297),2)</f>
        <v>1302.22</v>
      </c>
      <c r="K295" s="98">
        <f t="shared" ref="K295:L297" si="19">SUM(K284,K292)</f>
        <v>981</v>
      </c>
      <c r="L295" s="147">
        <f t="shared" si="19"/>
        <v>54.5</v>
      </c>
      <c r="M295" s="147"/>
      <c r="N295" s="148">
        <f>ROUND(SUM(L295,M296:M297),2)</f>
        <v>54.5</v>
      </c>
      <c r="O295" s="82">
        <f t="shared" ref="O295:P297" si="20">SUM(O284,O292)</f>
        <v>50554</v>
      </c>
      <c r="P295" s="147">
        <f t="shared" si="20"/>
        <v>1404.28</v>
      </c>
      <c r="Q295" s="147"/>
      <c r="R295" s="148">
        <f>ROUND(SUM(P295,Q296:Q297),2)</f>
        <v>1404.28</v>
      </c>
    </row>
    <row r="296" spans="1:18" s="14" customFormat="1" x14ac:dyDescent="0.5">
      <c r="A296" s="22"/>
      <c r="B296" s="41" t="s">
        <v>42</v>
      </c>
      <c r="C296" s="99">
        <f t="shared" si="17"/>
        <v>0</v>
      </c>
      <c r="D296" s="147">
        <f t="shared" si="17"/>
        <v>0</v>
      </c>
      <c r="E296" s="147">
        <f>SUM(E285,E293)</f>
        <v>0</v>
      </c>
      <c r="F296" s="149">
        <v>0</v>
      </c>
      <c r="G296" s="99">
        <f t="shared" si="18"/>
        <v>0</v>
      </c>
      <c r="H296" s="147">
        <f t="shared" si="18"/>
        <v>0</v>
      </c>
      <c r="I296" s="147">
        <f>SUM(I285,I293)</f>
        <v>0</v>
      </c>
      <c r="J296" s="149">
        <v>0</v>
      </c>
      <c r="K296" s="99">
        <f t="shared" si="19"/>
        <v>0</v>
      </c>
      <c r="L296" s="147">
        <f t="shared" si="19"/>
        <v>0</v>
      </c>
      <c r="M296" s="147">
        <f>SUM(M285,M293)</f>
        <v>0</v>
      </c>
      <c r="N296" s="149">
        <v>0</v>
      </c>
      <c r="O296" s="83">
        <f t="shared" si="20"/>
        <v>0</v>
      </c>
      <c r="P296" s="147">
        <f t="shared" si="20"/>
        <v>0</v>
      </c>
      <c r="Q296" s="147">
        <f>SUM(Q285,Q293)</f>
        <v>0</v>
      </c>
      <c r="R296" s="149">
        <v>0</v>
      </c>
    </row>
    <row r="297" spans="1:18" s="14" customFormat="1" ht="22.5" thickBot="1" x14ac:dyDescent="0.55000000000000004">
      <c r="A297" s="23"/>
      <c r="B297" s="42" t="s">
        <v>43</v>
      </c>
      <c r="C297" s="100">
        <f t="shared" si="17"/>
        <v>0</v>
      </c>
      <c r="D297" s="157">
        <f t="shared" si="17"/>
        <v>0</v>
      </c>
      <c r="E297" s="157">
        <f>SUM(E286,E294)</f>
        <v>0</v>
      </c>
      <c r="F297" s="152">
        <v>0</v>
      </c>
      <c r="G297" s="100">
        <f t="shared" si="18"/>
        <v>0</v>
      </c>
      <c r="H297" s="157">
        <f t="shared" si="18"/>
        <v>0</v>
      </c>
      <c r="I297" s="157">
        <f>SUM(I286,I294)</f>
        <v>0</v>
      </c>
      <c r="J297" s="152">
        <v>0</v>
      </c>
      <c r="K297" s="100">
        <f t="shared" si="19"/>
        <v>0</v>
      </c>
      <c r="L297" s="157">
        <f t="shared" si="19"/>
        <v>0</v>
      </c>
      <c r="M297" s="157">
        <f>SUM(M286,M294)</f>
        <v>0</v>
      </c>
      <c r="N297" s="152">
        <v>0</v>
      </c>
      <c r="O297" s="84">
        <f t="shared" si="20"/>
        <v>0</v>
      </c>
      <c r="P297" s="157">
        <f t="shared" si="20"/>
        <v>0</v>
      </c>
      <c r="Q297" s="157">
        <f>SUM(Q286,Q294)</f>
        <v>0</v>
      </c>
      <c r="R297" s="152">
        <v>0</v>
      </c>
    </row>
    <row r="298" spans="1:18" x14ac:dyDescent="0.5">
      <c r="A298" s="26" t="s">
        <v>91</v>
      </c>
      <c r="B298" s="46" t="s">
        <v>3</v>
      </c>
      <c r="C298" s="102">
        <f>SUM(C260,C277,C295)</f>
        <v>433084</v>
      </c>
      <c r="D298" s="158">
        <f>SUM(D260,D277,D295)</f>
        <v>24060.21</v>
      </c>
      <c r="E298" s="159"/>
      <c r="F298" s="160">
        <f>ROUND(SUM(D298,E299:E301),2)</f>
        <v>25713.18</v>
      </c>
      <c r="G298" s="102">
        <f>SUM(G260,G277,G295)</f>
        <v>366478</v>
      </c>
      <c r="H298" s="158">
        <f>SUM(H260,H277,H295)</f>
        <v>20359.87</v>
      </c>
      <c r="I298" s="159"/>
      <c r="J298" s="160">
        <f>ROUND(SUM(H298,I299:I301),2)</f>
        <v>21880.85</v>
      </c>
      <c r="K298" s="102">
        <f>SUM(K260,K277,K295)</f>
        <v>23615</v>
      </c>
      <c r="L298" s="158">
        <f>SUM(L260,L277,L295)</f>
        <v>1311.94</v>
      </c>
      <c r="M298" s="159"/>
      <c r="N298" s="160">
        <f>ROUND(SUM(L298,M299:M301),2)</f>
        <v>1391.45</v>
      </c>
      <c r="O298" s="88">
        <f>SUM(O260,O277,O295)</f>
        <v>823177</v>
      </c>
      <c r="P298" s="158">
        <f>SUM(P260,P277,P295)</f>
        <v>22866.03</v>
      </c>
      <c r="Q298" s="159"/>
      <c r="R298" s="160">
        <f>ROUND(SUM(P298,Q299:Q301),2)</f>
        <v>24492.83</v>
      </c>
    </row>
    <row r="299" spans="1:18" x14ac:dyDescent="0.5">
      <c r="A299" s="27"/>
      <c r="B299" s="47" t="s">
        <v>76</v>
      </c>
      <c r="C299" s="103">
        <f>SUM(C261)</f>
        <v>0</v>
      </c>
      <c r="D299" s="161">
        <f>SUM(D261)</f>
        <v>0</v>
      </c>
      <c r="E299" s="161">
        <f>SUM(E261)</f>
        <v>0</v>
      </c>
      <c r="F299" s="162">
        <v>0</v>
      </c>
      <c r="G299" s="103">
        <f>SUM(G261)</f>
        <v>0</v>
      </c>
      <c r="H299" s="161">
        <f>SUM(H261)</f>
        <v>0</v>
      </c>
      <c r="I299" s="161">
        <f>SUM(I261)</f>
        <v>0</v>
      </c>
      <c r="J299" s="162">
        <v>0</v>
      </c>
      <c r="K299" s="103">
        <f>SUM(K261)</f>
        <v>0</v>
      </c>
      <c r="L299" s="161">
        <f>SUM(L261)</f>
        <v>0</v>
      </c>
      <c r="M299" s="161">
        <f>SUM(M261)</f>
        <v>0</v>
      </c>
      <c r="N299" s="162">
        <v>0</v>
      </c>
      <c r="O299" s="89">
        <f>SUM(O261)</f>
        <v>0</v>
      </c>
      <c r="P299" s="161">
        <f>SUM(P261)</f>
        <v>0</v>
      </c>
      <c r="Q299" s="161">
        <f>SUM(Q261)</f>
        <v>0</v>
      </c>
      <c r="R299" s="162">
        <v>0</v>
      </c>
    </row>
    <row r="300" spans="1:18" x14ac:dyDescent="0.5">
      <c r="A300" s="27"/>
      <c r="B300" s="47" t="s">
        <v>42</v>
      </c>
      <c r="C300" s="104">
        <f t="shared" ref="C300:E301" si="21">SUM(C262,C278,C296)</f>
        <v>6682</v>
      </c>
      <c r="D300" s="163">
        <f t="shared" si="21"/>
        <v>556.83000000000004</v>
      </c>
      <c r="E300" s="163">
        <f t="shared" si="21"/>
        <v>933.92400000000009</v>
      </c>
      <c r="F300" s="162">
        <v>0</v>
      </c>
      <c r="G300" s="104">
        <f t="shared" ref="G300:I301" si="22">SUM(G262,G278,G296)</f>
        <v>5333</v>
      </c>
      <c r="H300" s="163">
        <f t="shared" si="22"/>
        <v>444.41999999999996</v>
      </c>
      <c r="I300" s="163">
        <f t="shared" si="22"/>
        <v>737.80499999999995</v>
      </c>
      <c r="J300" s="162">
        <v>0</v>
      </c>
      <c r="K300" s="104">
        <f t="shared" ref="K300:M301" si="23">SUM(K262,K278,K296)</f>
        <v>332</v>
      </c>
      <c r="L300" s="163">
        <f t="shared" si="23"/>
        <v>27.67</v>
      </c>
      <c r="M300" s="163">
        <f t="shared" si="23"/>
        <v>46.504999999999995</v>
      </c>
      <c r="N300" s="162">
        <v>0</v>
      </c>
      <c r="O300" s="90">
        <f t="shared" ref="O300:Q301" si="24">SUM(O262,O278,O296)</f>
        <v>12347</v>
      </c>
      <c r="P300" s="163">
        <f t="shared" si="24"/>
        <v>514.49</v>
      </c>
      <c r="Q300" s="163">
        <f t="shared" si="24"/>
        <v>859.17399999999998</v>
      </c>
      <c r="R300" s="162">
        <v>0</v>
      </c>
    </row>
    <row r="301" spans="1:18" ht="22.5" thickBot="1" x14ac:dyDescent="0.55000000000000004">
      <c r="A301" s="28"/>
      <c r="B301" s="48" t="s">
        <v>43</v>
      </c>
      <c r="C301" s="105">
        <f t="shared" si="21"/>
        <v>5197</v>
      </c>
      <c r="D301" s="164">
        <f t="shared" si="21"/>
        <v>433.09000000000003</v>
      </c>
      <c r="E301" s="164">
        <f t="shared" si="21"/>
        <v>719.04700000000003</v>
      </c>
      <c r="F301" s="165">
        <v>0</v>
      </c>
      <c r="G301" s="105">
        <f t="shared" si="22"/>
        <v>5636</v>
      </c>
      <c r="H301" s="164">
        <f t="shared" si="22"/>
        <v>469.67</v>
      </c>
      <c r="I301" s="164">
        <f t="shared" si="22"/>
        <v>783.17500000000007</v>
      </c>
      <c r="J301" s="165">
        <v>0</v>
      </c>
      <c r="K301" s="105">
        <f t="shared" si="23"/>
        <v>230</v>
      </c>
      <c r="L301" s="164">
        <f t="shared" si="23"/>
        <v>19.170000000000002</v>
      </c>
      <c r="M301" s="164">
        <f t="shared" si="23"/>
        <v>33.006</v>
      </c>
      <c r="N301" s="165">
        <v>0</v>
      </c>
      <c r="O301" s="91">
        <f t="shared" si="24"/>
        <v>11063</v>
      </c>
      <c r="P301" s="164">
        <f t="shared" si="24"/>
        <v>460.97000000000008</v>
      </c>
      <c r="Q301" s="164">
        <f t="shared" si="24"/>
        <v>767.62400000000014</v>
      </c>
      <c r="R301" s="165">
        <v>0</v>
      </c>
    </row>
  </sheetData>
  <mergeCells count="6">
    <mergeCell ref="O2:R2"/>
    <mergeCell ref="A2:A3"/>
    <mergeCell ref="B2:B3"/>
    <mergeCell ref="C2:F2"/>
    <mergeCell ref="G2:J2"/>
    <mergeCell ref="K2:N2"/>
  </mergeCells>
  <printOptions horizontalCentered="1"/>
  <pageMargins left="0.2" right="0.19685039370078741" top="0.31496062992125984" bottom="0.31496062992125984" header="0.27559055118110237" footer="0.15748031496062992"/>
  <pageSetup paperSize="9" scale="70" orientation="landscape" r:id="rId1"/>
  <headerFooter>
    <oddFooter>&amp;C&amp;"Angsana New,Regular"&amp;14Page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7"/>
  <sheetViews>
    <sheetView zoomScaleNormal="100" workbookViewId="0">
      <pane ySplit="3" topLeftCell="A178" activePane="bottomLeft" state="frozen"/>
      <selection pane="bottomLeft" activeCell="K178" sqref="K178"/>
    </sheetView>
  </sheetViews>
  <sheetFormatPr defaultRowHeight="21.75" x14ac:dyDescent="0.5"/>
  <cols>
    <col min="1" max="1" width="27.5" style="29" customWidth="1"/>
    <col min="2" max="2" width="9.375" style="15" customWidth="1"/>
    <col min="3" max="3" width="8.125" style="92" customWidth="1"/>
    <col min="4" max="4" width="9.5" style="166" bestFit="1" customWidth="1"/>
    <col min="5" max="5" width="8.75" style="166" customWidth="1"/>
    <col min="6" max="6" width="9.5" style="167" bestFit="1" customWidth="1"/>
    <col min="7" max="7" width="8.625" style="92" customWidth="1"/>
    <col min="8" max="8" width="9.5" style="166" bestFit="1" customWidth="1"/>
    <col min="9" max="9" width="8" style="166" customWidth="1"/>
    <col min="10" max="10" width="9.5" style="167" bestFit="1" customWidth="1"/>
    <col min="11" max="11" width="9" style="113" customWidth="1"/>
    <col min="12" max="12" width="9.375" style="166" customWidth="1"/>
    <col min="13" max="13" width="8.375" style="166" bestFit="1" customWidth="1"/>
    <col min="14" max="14" width="9.5" style="166" bestFit="1" customWidth="1"/>
    <col min="15" max="15" width="9.75" style="113" customWidth="1"/>
    <col min="16" max="16" width="9.5" style="166" bestFit="1" customWidth="1"/>
    <col min="17" max="17" width="8.375" style="166" bestFit="1" customWidth="1"/>
    <col min="18" max="18" width="9.5" style="189" bestFit="1" customWidth="1"/>
    <col min="19" max="16384" width="9" style="15"/>
  </cols>
  <sheetData>
    <row r="1" spans="1:18" s="14" customFormat="1" ht="24" x14ac:dyDescent="0.55000000000000004">
      <c r="A1" s="31" t="s">
        <v>115</v>
      </c>
      <c r="B1" s="31"/>
      <c r="C1" s="73"/>
      <c r="D1" s="128"/>
      <c r="E1" s="128"/>
      <c r="F1" s="128"/>
      <c r="G1" s="73"/>
      <c r="H1" s="128"/>
      <c r="I1" s="128"/>
      <c r="J1" s="128"/>
      <c r="K1" s="73"/>
      <c r="L1" s="128"/>
      <c r="M1" s="128"/>
      <c r="N1" s="128"/>
      <c r="O1" s="73"/>
      <c r="P1" s="128"/>
      <c r="Q1" s="128"/>
      <c r="R1" s="128"/>
    </row>
    <row r="2" spans="1:18" ht="21.75" customHeight="1" x14ac:dyDescent="0.5">
      <c r="A2" s="209" t="s">
        <v>32</v>
      </c>
      <c r="B2" s="210" t="s">
        <v>33</v>
      </c>
      <c r="C2" s="202" t="s">
        <v>102</v>
      </c>
      <c r="D2" s="207"/>
      <c r="E2" s="207"/>
      <c r="F2" s="208"/>
      <c r="G2" s="202" t="s">
        <v>103</v>
      </c>
      <c r="H2" s="207"/>
      <c r="I2" s="207"/>
      <c r="J2" s="208"/>
      <c r="K2" s="202" t="s">
        <v>118</v>
      </c>
      <c r="L2" s="203"/>
      <c r="M2" s="203"/>
      <c r="N2" s="204"/>
      <c r="O2" s="202" t="s">
        <v>107</v>
      </c>
      <c r="P2" s="203"/>
      <c r="Q2" s="203"/>
      <c r="R2" s="204"/>
    </row>
    <row r="3" spans="1:18" ht="66.75" customHeight="1" x14ac:dyDescent="0.5">
      <c r="A3" s="209"/>
      <c r="B3" s="211"/>
      <c r="C3" s="74" t="s">
        <v>34</v>
      </c>
      <c r="D3" s="129" t="s">
        <v>35</v>
      </c>
      <c r="E3" s="130" t="s">
        <v>36</v>
      </c>
      <c r="F3" s="131" t="s">
        <v>37</v>
      </c>
      <c r="G3" s="93" t="s">
        <v>34</v>
      </c>
      <c r="H3" s="129" t="s">
        <v>35</v>
      </c>
      <c r="I3" s="130" t="s">
        <v>36</v>
      </c>
      <c r="J3" s="131" t="s">
        <v>37</v>
      </c>
      <c r="K3" s="93" t="s">
        <v>34</v>
      </c>
      <c r="L3" s="129" t="s">
        <v>35</v>
      </c>
      <c r="M3" s="130" t="s">
        <v>36</v>
      </c>
      <c r="N3" s="131" t="s">
        <v>37</v>
      </c>
      <c r="O3" s="74" t="s">
        <v>38</v>
      </c>
      <c r="P3" s="129" t="s">
        <v>39</v>
      </c>
      <c r="Q3" s="130" t="s">
        <v>40</v>
      </c>
      <c r="R3" s="131" t="s">
        <v>37</v>
      </c>
    </row>
    <row r="4" spans="1:18" x14ac:dyDescent="0.5">
      <c r="A4" s="59" t="s">
        <v>2</v>
      </c>
      <c r="B4" s="32"/>
      <c r="C4" s="75"/>
      <c r="D4" s="132"/>
      <c r="E4" s="132"/>
      <c r="F4" s="133"/>
      <c r="G4" s="94"/>
      <c r="H4" s="132"/>
      <c r="I4" s="132"/>
      <c r="J4" s="133"/>
      <c r="K4" s="94"/>
      <c r="L4" s="132"/>
      <c r="M4" s="132"/>
      <c r="N4" s="133"/>
      <c r="O4" s="114"/>
      <c r="P4" s="172"/>
      <c r="Q4" s="172"/>
      <c r="R4" s="173"/>
    </row>
    <row r="5" spans="1:18" x14ac:dyDescent="0.5">
      <c r="A5" s="55" t="s">
        <v>41</v>
      </c>
      <c r="B5" s="33" t="s">
        <v>3</v>
      </c>
      <c r="C5" s="195">
        <f>17115+5796</f>
        <v>22911</v>
      </c>
      <c r="D5" s="134">
        <f>ROUND(C5/18,2)</f>
        <v>1272.83</v>
      </c>
      <c r="E5" s="134"/>
      <c r="F5" s="135">
        <f>SUM(D5,E6:E7)</f>
        <v>1504.7239999999999</v>
      </c>
      <c r="G5" s="76">
        <f>15935+6128</f>
        <v>22063</v>
      </c>
      <c r="H5" s="134">
        <f>ROUND(G5/18,2)</f>
        <v>1225.72</v>
      </c>
      <c r="I5" s="134"/>
      <c r="J5" s="135">
        <f>SUM(H5,I6:I7)</f>
        <v>1388.9259999999999</v>
      </c>
      <c r="K5" s="106">
        <f>9266+3084</f>
        <v>12350</v>
      </c>
      <c r="L5" s="134">
        <f>ROUND(K5/18,2)</f>
        <v>686.11</v>
      </c>
      <c r="M5" s="134"/>
      <c r="N5" s="135">
        <f>SUM(L5,M6:M7)</f>
        <v>698.26</v>
      </c>
      <c r="O5" s="115">
        <f>SUM(C5,G5,K5)</f>
        <v>57324</v>
      </c>
      <c r="P5" s="174">
        <f>ROUND(O5/36,2)</f>
        <v>1592.33</v>
      </c>
      <c r="Q5" s="175"/>
      <c r="R5" s="176">
        <f>SUM(P5,Q6:Q7)</f>
        <v>1795.9639999999999</v>
      </c>
    </row>
    <row r="6" spans="1:18" x14ac:dyDescent="0.5">
      <c r="A6" s="69"/>
      <c r="B6" s="33" t="s">
        <v>42</v>
      </c>
      <c r="C6" s="195">
        <f>920+599</f>
        <v>1519</v>
      </c>
      <c r="D6" s="134">
        <f>ROUND(C6/12,2)</f>
        <v>126.58</v>
      </c>
      <c r="E6" s="134">
        <f>D6*1.8</f>
        <v>227.84399999999999</v>
      </c>
      <c r="F6" s="135"/>
      <c r="G6" s="76">
        <f>590+471</f>
        <v>1061</v>
      </c>
      <c r="H6" s="134">
        <f>ROUND(G6/12,2)</f>
        <v>88.42</v>
      </c>
      <c r="I6" s="134">
        <f>H6*1.8</f>
        <v>159.15600000000001</v>
      </c>
      <c r="J6" s="135"/>
      <c r="K6" s="95">
        <f>81</f>
        <v>81</v>
      </c>
      <c r="L6" s="134">
        <f>ROUND(K6/12,2)</f>
        <v>6.75</v>
      </c>
      <c r="M6" s="134">
        <f>L6*1.8</f>
        <v>12.15</v>
      </c>
      <c r="N6" s="135"/>
      <c r="O6" s="115">
        <f>SUM(C6,G6,K6)</f>
        <v>2661</v>
      </c>
      <c r="P6" s="174">
        <f>ROUND(O6/24,2)</f>
        <v>110.88</v>
      </c>
      <c r="Q6" s="175">
        <f>P6*1.8</f>
        <v>199.584</v>
      </c>
      <c r="R6" s="176">
        <v>0</v>
      </c>
    </row>
    <row r="7" spans="1:18" ht="22.5" thickBot="1" x14ac:dyDescent="0.55000000000000004">
      <c r="A7" s="60"/>
      <c r="B7" s="34" t="s">
        <v>43</v>
      </c>
      <c r="C7" s="80">
        <f>27</f>
        <v>27</v>
      </c>
      <c r="D7" s="136">
        <f>ROUND(C7/12,2)</f>
        <v>2.25</v>
      </c>
      <c r="E7" s="136">
        <f>D7*1.8</f>
        <v>4.05</v>
      </c>
      <c r="F7" s="137"/>
      <c r="G7" s="77">
        <f>27</f>
        <v>27</v>
      </c>
      <c r="H7" s="136">
        <f>ROUND(G7/12,2)</f>
        <v>2.25</v>
      </c>
      <c r="I7" s="136">
        <f>H7*1.8</f>
        <v>4.05</v>
      </c>
      <c r="J7" s="137"/>
      <c r="K7" s="96"/>
      <c r="L7" s="136">
        <f>ROUND(K7/12,2)</f>
        <v>0</v>
      </c>
      <c r="M7" s="136">
        <f>L7*1.8</f>
        <v>0</v>
      </c>
      <c r="N7" s="137"/>
      <c r="O7" s="116">
        <f>SUM(C7,G7,K7)</f>
        <v>54</v>
      </c>
      <c r="P7" s="177">
        <f>ROUND(O7/24,2)</f>
        <v>2.25</v>
      </c>
      <c r="Q7" s="178">
        <f>P7*1.8</f>
        <v>4.05</v>
      </c>
      <c r="R7" s="179">
        <v>0</v>
      </c>
    </row>
    <row r="8" spans="1:18" x14ac:dyDescent="0.5">
      <c r="A8" s="58" t="s">
        <v>100</v>
      </c>
      <c r="B8" s="35"/>
      <c r="C8" s="196"/>
      <c r="D8" s="138"/>
      <c r="E8" s="138"/>
      <c r="F8" s="139"/>
      <c r="G8" s="97"/>
      <c r="H8" s="138"/>
      <c r="I8" s="168"/>
      <c r="J8" s="139"/>
      <c r="K8" s="107"/>
      <c r="L8" s="138"/>
      <c r="M8" s="138"/>
      <c r="N8" s="139"/>
      <c r="O8" s="117"/>
      <c r="P8" s="180"/>
      <c r="Q8" s="181"/>
      <c r="R8" s="182"/>
    </row>
    <row r="9" spans="1:18" x14ac:dyDescent="0.5">
      <c r="A9" s="55" t="s">
        <v>41</v>
      </c>
      <c r="B9" s="33" t="s">
        <v>3</v>
      </c>
      <c r="C9" s="195"/>
      <c r="D9" s="134">
        <f>ROUND(C9/18,2)</f>
        <v>0</v>
      </c>
      <c r="E9" s="134"/>
      <c r="F9" s="135">
        <f>SUM(D9,E10:E11)</f>
        <v>0</v>
      </c>
      <c r="G9" s="95"/>
      <c r="H9" s="134">
        <f>ROUND(G9/18,2)</f>
        <v>0</v>
      </c>
      <c r="I9" s="134"/>
      <c r="J9" s="135">
        <f>SUM(H9,I10:I11)</f>
        <v>0</v>
      </c>
      <c r="K9" s="106"/>
      <c r="L9" s="134">
        <f>ROUND(K9/18,2)</f>
        <v>0</v>
      </c>
      <c r="M9" s="134"/>
      <c r="N9" s="135">
        <f>SUM(L9,M10:M11)</f>
        <v>0</v>
      </c>
      <c r="O9" s="115">
        <f>SUM(C9,G9,K9)</f>
        <v>0</v>
      </c>
      <c r="P9" s="174">
        <f>ROUND(O9/36,2)</f>
        <v>0</v>
      </c>
      <c r="Q9" s="175"/>
      <c r="R9" s="176">
        <f>SUM(P9,Q10:Q11)</f>
        <v>0</v>
      </c>
    </row>
    <row r="10" spans="1:18" x14ac:dyDescent="0.5">
      <c r="A10" s="55"/>
      <c r="B10" s="33" t="s">
        <v>42</v>
      </c>
      <c r="C10" s="195"/>
      <c r="D10" s="134">
        <f>ROUND(C10/12,2)</f>
        <v>0</v>
      </c>
      <c r="E10" s="134">
        <f>D10*1</f>
        <v>0</v>
      </c>
      <c r="F10" s="135"/>
      <c r="G10" s="95"/>
      <c r="H10" s="134">
        <f>ROUND(G10/12,2)</f>
        <v>0</v>
      </c>
      <c r="I10" s="134">
        <f>H10*1</f>
        <v>0</v>
      </c>
      <c r="J10" s="135"/>
      <c r="K10" s="95"/>
      <c r="L10" s="134">
        <f>ROUND(K10/12,2)</f>
        <v>0</v>
      </c>
      <c r="M10" s="134">
        <f>L10*1</f>
        <v>0</v>
      </c>
      <c r="N10" s="135"/>
      <c r="O10" s="115">
        <f>SUM(C10,G10,K10)</f>
        <v>0</v>
      </c>
      <c r="P10" s="174">
        <f>ROUND(O10/24,2)</f>
        <v>0</v>
      </c>
      <c r="Q10" s="175">
        <f>P10*1</f>
        <v>0</v>
      </c>
      <c r="R10" s="176">
        <v>0</v>
      </c>
    </row>
    <row r="11" spans="1:18" ht="22.5" thickBot="1" x14ac:dyDescent="0.55000000000000004">
      <c r="A11" s="60"/>
      <c r="B11" s="34" t="s">
        <v>43</v>
      </c>
      <c r="C11" s="80"/>
      <c r="D11" s="136">
        <f>ROUND(C11/12,2)</f>
        <v>0</v>
      </c>
      <c r="E11" s="136">
        <f>D11*1</f>
        <v>0</v>
      </c>
      <c r="F11" s="137"/>
      <c r="G11" s="96"/>
      <c r="H11" s="136">
        <f>ROUND(G11/12,2)</f>
        <v>0</v>
      </c>
      <c r="I11" s="136">
        <f>H11*1</f>
        <v>0</v>
      </c>
      <c r="J11" s="137"/>
      <c r="K11" s="96"/>
      <c r="L11" s="136">
        <f>ROUND(K11/12,2)</f>
        <v>0</v>
      </c>
      <c r="M11" s="136">
        <f>L11*1</f>
        <v>0</v>
      </c>
      <c r="N11" s="137"/>
      <c r="O11" s="116">
        <f>SUM(C11,G11,K11)</f>
        <v>0</v>
      </c>
      <c r="P11" s="177">
        <f>ROUND(O11/24,2)</f>
        <v>0</v>
      </c>
      <c r="Q11" s="178">
        <f>P11*1</f>
        <v>0</v>
      </c>
      <c r="R11" s="179">
        <v>0</v>
      </c>
    </row>
    <row r="12" spans="1:18" x14ac:dyDescent="0.5">
      <c r="A12" s="58" t="s">
        <v>5</v>
      </c>
      <c r="B12" s="35"/>
      <c r="C12" s="196"/>
      <c r="D12" s="138"/>
      <c r="E12" s="138"/>
      <c r="F12" s="139"/>
      <c r="G12" s="97"/>
      <c r="H12" s="138"/>
      <c r="I12" s="168"/>
      <c r="J12" s="139"/>
      <c r="K12" s="107"/>
      <c r="L12" s="138"/>
      <c r="M12" s="138"/>
      <c r="N12" s="139"/>
      <c r="O12" s="117"/>
      <c r="P12" s="180"/>
      <c r="Q12" s="181"/>
      <c r="R12" s="182"/>
    </row>
    <row r="13" spans="1:18" x14ac:dyDescent="0.5">
      <c r="A13" s="55" t="s">
        <v>41</v>
      </c>
      <c r="B13" s="33" t="s">
        <v>3</v>
      </c>
      <c r="C13" s="195"/>
      <c r="D13" s="134">
        <f>ROUND(C13/18,2)</f>
        <v>0</v>
      </c>
      <c r="E13" s="134"/>
      <c r="F13" s="135">
        <f>SUM(D13,E14:E15)</f>
        <v>0</v>
      </c>
      <c r="G13" s="95"/>
      <c r="H13" s="134">
        <f>ROUND(G13/18,2)</f>
        <v>0</v>
      </c>
      <c r="I13" s="134"/>
      <c r="J13" s="135">
        <f>SUM(H13,I14:I15)</f>
        <v>0</v>
      </c>
      <c r="K13" s="106"/>
      <c r="L13" s="134">
        <f>ROUND(K13/18,2)</f>
        <v>0</v>
      </c>
      <c r="M13" s="134"/>
      <c r="N13" s="135">
        <f>SUM(L13,M14:M15)</f>
        <v>0</v>
      </c>
      <c r="O13" s="115">
        <f>SUM(C13,G13,K13)</f>
        <v>0</v>
      </c>
      <c r="P13" s="174">
        <f>ROUND(O13/36,2)</f>
        <v>0</v>
      </c>
      <c r="Q13" s="175"/>
      <c r="R13" s="176">
        <f>SUM(P13,Q14:Q15)</f>
        <v>0</v>
      </c>
    </row>
    <row r="14" spans="1:18" x14ac:dyDescent="0.5">
      <c r="A14" s="55"/>
      <c r="B14" s="33" t="s">
        <v>42</v>
      </c>
      <c r="C14" s="195"/>
      <c r="D14" s="134">
        <f>ROUND(C14/12,2)</f>
        <v>0</v>
      </c>
      <c r="E14" s="134">
        <f>D14*1</f>
        <v>0</v>
      </c>
      <c r="F14" s="135"/>
      <c r="G14" s="95"/>
      <c r="H14" s="134">
        <f>ROUND(G14/12,2)</f>
        <v>0</v>
      </c>
      <c r="I14" s="134">
        <f>H14*1</f>
        <v>0</v>
      </c>
      <c r="J14" s="135"/>
      <c r="K14" s="95"/>
      <c r="L14" s="134">
        <f>ROUND(K14/12,2)</f>
        <v>0</v>
      </c>
      <c r="M14" s="134">
        <f>L14*1</f>
        <v>0</v>
      </c>
      <c r="N14" s="135"/>
      <c r="O14" s="115">
        <f>SUM(C14,G14,K14)</f>
        <v>0</v>
      </c>
      <c r="P14" s="174">
        <f>ROUND(O14/24,2)</f>
        <v>0</v>
      </c>
      <c r="Q14" s="175">
        <f>P14*1</f>
        <v>0</v>
      </c>
      <c r="R14" s="176">
        <v>0</v>
      </c>
    </row>
    <row r="15" spans="1:18" ht="22.5" thickBot="1" x14ac:dyDescent="0.55000000000000004">
      <c r="A15" s="60"/>
      <c r="B15" s="34" t="s">
        <v>43</v>
      </c>
      <c r="C15" s="80"/>
      <c r="D15" s="136">
        <f>ROUND(C15/12,2)</f>
        <v>0</v>
      </c>
      <c r="E15" s="136">
        <f>D15*1</f>
        <v>0</v>
      </c>
      <c r="F15" s="137"/>
      <c r="G15" s="96"/>
      <c r="H15" s="136">
        <f>ROUND(G15/12,2)</f>
        <v>0</v>
      </c>
      <c r="I15" s="136">
        <f>H15*1</f>
        <v>0</v>
      </c>
      <c r="J15" s="137"/>
      <c r="K15" s="96"/>
      <c r="L15" s="136">
        <f>ROUND(K15/12,2)</f>
        <v>0</v>
      </c>
      <c r="M15" s="136">
        <f>L15*1</f>
        <v>0</v>
      </c>
      <c r="N15" s="137"/>
      <c r="O15" s="116">
        <f>SUM(C15,G15,K15)</f>
        <v>0</v>
      </c>
      <c r="P15" s="177">
        <f>ROUND(O15/24,2)</f>
        <v>0</v>
      </c>
      <c r="Q15" s="178">
        <f>P15*1</f>
        <v>0</v>
      </c>
      <c r="R15" s="179">
        <v>0</v>
      </c>
    </row>
    <row r="16" spans="1:18" x14ac:dyDescent="0.5">
      <c r="A16" s="58" t="s">
        <v>6</v>
      </c>
      <c r="B16" s="35"/>
      <c r="C16" s="196"/>
      <c r="D16" s="138"/>
      <c r="E16" s="138"/>
      <c r="F16" s="139"/>
      <c r="G16" s="97"/>
      <c r="H16" s="138"/>
      <c r="I16" s="168"/>
      <c r="J16" s="139"/>
      <c r="K16" s="108"/>
      <c r="L16" s="138"/>
      <c r="M16" s="138"/>
      <c r="N16" s="139"/>
      <c r="O16" s="118"/>
      <c r="P16" s="183"/>
      <c r="Q16" s="181"/>
      <c r="R16" s="182"/>
    </row>
    <row r="17" spans="1:18" x14ac:dyDescent="0.5">
      <c r="A17" s="55" t="s">
        <v>41</v>
      </c>
      <c r="B17" s="33" t="s">
        <v>3</v>
      </c>
      <c r="C17" s="195"/>
      <c r="D17" s="134">
        <f>ROUND(C17/18,2)</f>
        <v>0</v>
      </c>
      <c r="E17" s="134"/>
      <c r="F17" s="135">
        <f>SUM(D17,E18:E19)</f>
        <v>63.25</v>
      </c>
      <c r="G17" s="194">
        <v>710</v>
      </c>
      <c r="H17" s="134">
        <f>ROUND(G17/18,2)</f>
        <v>39.44</v>
      </c>
      <c r="I17" s="134"/>
      <c r="J17" s="135">
        <f>SUM(H17,I18:I19)</f>
        <v>93.94</v>
      </c>
      <c r="K17" s="106"/>
      <c r="L17" s="134">
        <f>ROUND(K17/18,2)</f>
        <v>0</v>
      </c>
      <c r="M17" s="134"/>
      <c r="N17" s="135">
        <f>SUM(L17,M18:M19)</f>
        <v>8</v>
      </c>
      <c r="O17" s="115">
        <f>SUM(C17,G17,K17)</f>
        <v>710</v>
      </c>
      <c r="P17" s="174">
        <f>ROUND(O17/36,2)</f>
        <v>19.72</v>
      </c>
      <c r="Q17" s="175"/>
      <c r="R17" s="176">
        <f>SUM(P17,Q18:Q19)</f>
        <v>82.6</v>
      </c>
    </row>
    <row r="18" spans="1:18" x14ac:dyDescent="0.5">
      <c r="A18" s="69"/>
      <c r="B18" s="33" t="s">
        <v>42</v>
      </c>
      <c r="C18" s="195">
        <f>194+324+56+185</f>
        <v>759</v>
      </c>
      <c r="D18" s="134">
        <f>ROUND(C18/12,2)</f>
        <v>63.25</v>
      </c>
      <c r="E18" s="134">
        <f>D18*1</f>
        <v>63.25</v>
      </c>
      <c r="F18" s="135"/>
      <c r="G18" s="194">
        <f>261+155+80+52+106</f>
        <v>654</v>
      </c>
      <c r="H18" s="134">
        <f>ROUND(G18/12,2)</f>
        <v>54.5</v>
      </c>
      <c r="I18" s="134">
        <f>H18*1</f>
        <v>54.5</v>
      </c>
      <c r="J18" s="135"/>
      <c r="K18" s="106">
        <f>36+60</f>
        <v>96</v>
      </c>
      <c r="L18" s="134">
        <f>ROUND(K18/12,2)</f>
        <v>8</v>
      </c>
      <c r="M18" s="134">
        <f>L18*1</f>
        <v>8</v>
      </c>
      <c r="N18" s="135"/>
      <c r="O18" s="115">
        <f>SUM(C18,G18,K18)</f>
        <v>1509</v>
      </c>
      <c r="P18" s="174">
        <f>ROUND(O18/24,2)</f>
        <v>62.88</v>
      </c>
      <c r="Q18" s="175">
        <f>P18*1</f>
        <v>62.88</v>
      </c>
      <c r="R18" s="176">
        <v>0</v>
      </c>
    </row>
    <row r="19" spans="1:18" ht="22.5" thickBot="1" x14ac:dyDescent="0.55000000000000004">
      <c r="A19" s="60"/>
      <c r="B19" s="34" t="s">
        <v>43</v>
      </c>
      <c r="C19" s="80"/>
      <c r="D19" s="136">
        <f>ROUND(C19/12,2)</f>
        <v>0</v>
      </c>
      <c r="E19" s="136">
        <f>D19*1</f>
        <v>0</v>
      </c>
      <c r="F19" s="137"/>
      <c r="G19" s="96"/>
      <c r="H19" s="136">
        <f>ROUND(G19/12,2)</f>
        <v>0</v>
      </c>
      <c r="I19" s="136">
        <f>H19*1</f>
        <v>0</v>
      </c>
      <c r="J19" s="137"/>
      <c r="K19" s="109"/>
      <c r="L19" s="136">
        <f>ROUND(K19/12,2)</f>
        <v>0</v>
      </c>
      <c r="M19" s="136">
        <f>L19*1</f>
        <v>0</v>
      </c>
      <c r="N19" s="137"/>
      <c r="O19" s="116">
        <f>SUM(C19,G19,K19)</f>
        <v>0</v>
      </c>
      <c r="P19" s="177">
        <f>ROUND(O19/24,2)</f>
        <v>0</v>
      </c>
      <c r="Q19" s="178">
        <f>P19*1</f>
        <v>0</v>
      </c>
      <c r="R19" s="179">
        <v>0</v>
      </c>
    </row>
    <row r="20" spans="1:18" x14ac:dyDescent="0.5">
      <c r="A20" s="58" t="s">
        <v>7</v>
      </c>
      <c r="B20" s="36"/>
      <c r="C20" s="196"/>
      <c r="D20" s="138"/>
      <c r="E20" s="138"/>
      <c r="F20" s="139"/>
      <c r="G20" s="97"/>
      <c r="H20" s="138"/>
      <c r="I20" s="168"/>
      <c r="J20" s="139"/>
      <c r="K20" s="110"/>
      <c r="L20" s="138"/>
      <c r="M20" s="138"/>
      <c r="N20" s="139"/>
      <c r="O20" s="117"/>
      <c r="P20" s="183"/>
      <c r="Q20" s="181"/>
      <c r="R20" s="182"/>
    </row>
    <row r="21" spans="1:18" x14ac:dyDescent="0.5">
      <c r="A21" s="55" t="s">
        <v>41</v>
      </c>
      <c r="B21" s="37" t="s">
        <v>3</v>
      </c>
      <c r="C21" s="196"/>
      <c r="D21" s="138">
        <f>ROUND(C21/18,2)</f>
        <v>0</v>
      </c>
      <c r="E21" s="138"/>
      <c r="F21" s="139">
        <f>SUM(D21,E22:E23)</f>
        <v>0</v>
      </c>
      <c r="G21" s="97"/>
      <c r="H21" s="138">
        <f>ROUND(G21/18,2)</f>
        <v>0</v>
      </c>
      <c r="I21" s="138"/>
      <c r="J21" s="139">
        <f>SUM(H21,I22:I23)</f>
        <v>0</v>
      </c>
      <c r="K21" s="108"/>
      <c r="L21" s="134">
        <f>ROUND(K21/18,2)</f>
        <v>0</v>
      </c>
      <c r="M21" s="138"/>
      <c r="N21" s="139">
        <f>SUM(L21,M22:M23)</f>
        <v>0</v>
      </c>
      <c r="O21" s="117">
        <f t="shared" ref="O21:O50" si="0">SUM(C21,G21,K21)</f>
        <v>0</v>
      </c>
      <c r="P21" s="183">
        <f>ROUND(O21/36,2)</f>
        <v>0</v>
      </c>
      <c r="Q21" s="181"/>
      <c r="R21" s="182">
        <f>SUM(P21,Q22:Q23)</f>
        <v>0</v>
      </c>
    </row>
    <row r="22" spans="1:18" x14ac:dyDescent="0.5">
      <c r="A22" s="58"/>
      <c r="B22" s="37" t="s">
        <v>42</v>
      </c>
      <c r="C22" s="196"/>
      <c r="D22" s="138">
        <f>ROUND(C22/12,2)</f>
        <v>0</v>
      </c>
      <c r="E22" s="138">
        <f>D22*1</f>
        <v>0</v>
      </c>
      <c r="F22" s="139"/>
      <c r="G22" s="97"/>
      <c r="H22" s="138">
        <f>ROUND(G22/12,2)</f>
        <v>0</v>
      </c>
      <c r="I22" s="138">
        <f>H22*1</f>
        <v>0</v>
      </c>
      <c r="J22" s="139"/>
      <c r="K22" s="110"/>
      <c r="L22" s="138">
        <f>ROUND(K22/12,2)</f>
        <v>0</v>
      </c>
      <c r="M22" s="138">
        <f>L22*1</f>
        <v>0</v>
      </c>
      <c r="N22" s="139"/>
      <c r="O22" s="117">
        <f t="shared" si="0"/>
        <v>0</v>
      </c>
      <c r="P22" s="183">
        <f>ROUND(O22/24,2)</f>
        <v>0</v>
      </c>
      <c r="Q22" s="181">
        <f>P22*1</f>
        <v>0</v>
      </c>
      <c r="R22" s="182">
        <v>0</v>
      </c>
    </row>
    <row r="23" spans="1:18" x14ac:dyDescent="0.5">
      <c r="A23" s="58"/>
      <c r="B23" s="37" t="s">
        <v>43</v>
      </c>
      <c r="C23" s="196"/>
      <c r="D23" s="138">
        <f>ROUND(C23/12,2)</f>
        <v>0</v>
      </c>
      <c r="E23" s="138">
        <f>D23*1</f>
        <v>0</v>
      </c>
      <c r="F23" s="139"/>
      <c r="G23" s="97"/>
      <c r="H23" s="138">
        <f>ROUND(G23/12,2)</f>
        <v>0</v>
      </c>
      <c r="I23" s="138">
        <f>H23*1</f>
        <v>0</v>
      </c>
      <c r="J23" s="139"/>
      <c r="K23" s="110"/>
      <c r="L23" s="138">
        <f>ROUND(K23/12,2)</f>
        <v>0</v>
      </c>
      <c r="M23" s="138">
        <f>L23*1</f>
        <v>0</v>
      </c>
      <c r="N23" s="139"/>
      <c r="O23" s="117">
        <f t="shared" si="0"/>
        <v>0</v>
      </c>
      <c r="P23" s="183">
        <f>ROUND(O23/24,2)</f>
        <v>0</v>
      </c>
      <c r="Q23" s="181">
        <f>P23*1</f>
        <v>0</v>
      </c>
      <c r="R23" s="182">
        <v>0</v>
      </c>
    </row>
    <row r="24" spans="1:18" x14ac:dyDescent="0.5">
      <c r="A24" s="55" t="s">
        <v>93</v>
      </c>
      <c r="B24" s="33" t="s">
        <v>3</v>
      </c>
      <c r="C24" s="195"/>
      <c r="D24" s="134">
        <f>ROUND(C24/18,2)</f>
        <v>0</v>
      </c>
      <c r="E24" s="134"/>
      <c r="F24" s="135">
        <f>SUM(D24,E25:E26)</f>
        <v>0</v>
      </c>
      <c r="G24" s="95"/>
      <c r="H24" s="134">
        <f>ROUND(G24/18,2)</f>
        <v>0</v>
      </c>
      <c r="I24" s="134"/>
      <c r="J24" s="135">
        <f>SUM(H24,I25:I26)</f>
        <v>0</v>
      </c>
      <c r="K24" s="106"/>
      <c r="L24" s="134">
        <f>ROUND(K24/18,2)</f>
        <v>0</v>
      </c>
      <c r="M24" s="134"/>
      <c r="N24" s="135">
        <f>SUM(L24,M25:M26)</f>
        <v>0</v>
      </c>
      <c r="O24" s="115">
        <f t="shared" si="0"/>
        <v>0</v>
      </c>
      <c r="P24" s="174">
        <f>ROUND(O24/36,2)</f>
        <v>0</v>
      </c>
      <c r="Q24" s="175"/>
      <c r="R24" s="176">
        <f>SUM(P24,Q25:Q26)</f>
        <v>0</v>
      </c>
    </row>
    <row r="25" spans="1:18" x14ac:dyDescent="0.5">
      <c r="A25" s="61"/>
      <c r="B25" s="33" t="s">
        <v>42</v>
      </c>
      <c r="C25" s="195"/>
      <c r="D25" s="134">
        <f>ROUND(C25/12,2)</f>
        <v>0</v>
      </c>
      <c r="E25" s="138">
        <f>D25*1</f>
        <v>0</v>
      </c>
      <c r="F25" s="135"/>
      <c r="G25" s="95"/>
      <c r="H25" s="134">
        <f>ROUND(G25/12,2)</f>
        <v>0</v>
      </c>
      <c r="I25" s="138">
        <f>H25*1</f>
        <v>0</v>
      </c>
      <c r="J25" s="135"/>
      <c r="K25" s="106"/>
      <c r="L25" s="134">
        <f>ROUND(K25/12,2)</f>
        <v>0</v>
      </c>
      <c r="M25" s="138">
        <f>L25*1</f>
        <v>0</v>
      </c>
      <c r="N25" s="135"/>
      <c r="O25" s="115">
        <f t="shared" si="0"/>
        <v>0</v>
      </c>
      <c r="P25" s="175">
        <f>ROUND(O25/24,2)</f>
        <v>0</v>
      </c>
      <c r="Q25" s="175">
        <f>P25*1</f>
        <v>0</v>
      </c>
      <c r="R25" s="176">
        <v>0</v>
      </c>
    </row>
    <row r="26" spans="1:18" x14ac:dyDescent="0.5">
      <c r="A26" s="61"/>
      <c r="B26" s="33" t="s">
        <v>43</v>
      </c>
      <c r="C26" s="195"/>
      <c r="D26" s="134">
        <f>ROUND(C26/12,2)</f>
        <v>0</v>
      </c>
      <c r="E26" s="138">
        <f>D26*1</f>
        <v>0</v>
      </c>
      <c r="F26" s="135"/>
      <c r="G26" s="95"/>
      <c r="H26" s="134">
        <f>ROUND(G26/12,2)</f>
        <v>0</v>
      </c>
      <c r="I26" s="138">
        <f>H26*1</f>
        <v>0</v>
      </c>
      <c r="J26" s="135"/>
      <c r="K26" s="95"/>
      <c r="L26" s="134">
        <f>ROUND(K26/12,2)</f>
        <v>0</v>
      </c>
      <c r="M26" s="138">
        <f>L26*1</f>
        <v>0</v>
      </c>
      <c r="N26" s="135"/>
      <c r="O26" s="119">
        <f t="shared" si="0"/>
        <v>0</v>
      </c>
      <c r="P26" s="175">
        <f>ROUND(O26/24,2)</f>
        <v>0</v>
      </c>
      <c r="Q26" s="175">
        <f>P26*1</f>
        <v>0</v>
      </c>
      <c r="R26" s="176">
        <v>0</v>
      </c>
    </row>
    <row r="27" spans="1:18" x14ac:dyDescent="0.5">
      <c r="A27" s="55" t="s">
        <v>94</v>
      </c>
      <c r="B27" s="33" t="s">
        <v>3</v>
      </c>
      <c r="C27" s="195"/>
      <c r="D27" s="134">
        <f>ROUND(C27/18,2)</f>
        <v>0</v>
      </c>
      <c r="E27" s="134"/>
      <c r="F27" s="135">
        <f>SUM(D27,E28:E29)</f>
        <v>0</v>
      </c>
      <c r="G27" s="95"/>
      <c r="H27" s="134">
        <f>ROUND(G27/18,2)</f>
        <v>0</v>
      </c>
      <c r="I27" s="134"/>
      <c r="J27" s="135">
        <f>SUM(H27,I28:I29)</f>
        <v>0</v>
      </c>
      <c r="K27" s="106"/>
      <c r="L27" s="134">
        <f>ROUND(K27/18,2)</f>
        <v>0</v>
      </c>
      <c r="M27" s="134"/>
      <c r="N27" s="135">
        <f>SUM(L27,M28:M29)</f>
        <v>0</v>
      </c>
      <c r="O27" s="115">
        <f t="shared" si="0"/>
        <v>0</v>
      </c>
      <c r="P27" s="174">
        <f>ROUND(O27/36,2)</f>
        <v>0</v>
      </c>
      <c r="Q27" s="175"/>
      <c r="R27" s="176">
        <f>SUM(P27,Q28:Q29)</f>
        <v>0</v>
      </c>
    </row>
    <row r="28" spans="1:18" x14ac:dyDescent="0.5">
      <c r="A28" s="61"/>
      <c r="B28" s="33" t="s">
        <v>42</v>
      </c>
      <c r="C28" s="195"/>
      <c r="D28" s="134">
        <f>ROUND(C28/12,2)</f>
        <v>0</v>
      </c>
      <c r="E28" s="138">
        <f>D28*1</f>
        <v>0</v>
      </c>
      <c r="F28" s="135"/>
      <c r="G28" s="95"/>
      <c r="H28" s="134">
        <f>ROUND(G28/12,2)</f>
        <v>0</v>
      </c>
      <c r="I28" s="138">
        <f>H28*1</f>
        <v>0</v>
      </c>
      <c r="J28" s="135"/>
      <c r="K28" s="106"/>
      <c r="L28" s="134">
        <f>ROUND(K28/12,2)</f>
        <v>0</v>
      </c>
      <c r="M28" s="138">
        <f>L28*1</f>
        <v>0</v>
      </c>
      <c r="N28" s="135"/>
      <c r="O28" s="115">
        <f t="shared" si="0"/>
        <v>0</v>
      </c>
      <c r="P28" s="175">
        <f>ROUND(O28/24,2)</f>
        <v>0</v>
      </c>
      <c r="Q28" s="175">
        <f>P28*1</f>
        <v>0</v>
      </c>
      <c r="R28" s="176">
        <v>0</v>
      </c>
    </row>
    <row r="29" spans="1:18" x14ac:dyDescent="0.5">
      <c r="A29" s="61"/>
      <c r="B29" s="33" t="s">
        <v>43</v>
      </c>
      <c r="C29" s="195"/>
      <c r="D29" s="134">
        <f>ROUND(C29/12,2)</f>
        <v>0</v>
      </c>
      <c r="E29" s="138">
        <f>D29*1</f>
        <v>0</v>
      </c>
      <c r="F29" s="135"/>
      <c r="G29" s="95"/>
      <c r="H29" s="134">
        <f>ROUND(G29/12,2)</f>
        <v>0</v>
      </c>
      <c r="I29" s="138">
        <f>H29*1</f>
        <v>0</v>
      </c>
      <c r="J29" s="135"/>
      <c r="K29" s="106"/>
      <c r="L29" s="134">
        <f>ROUND(K29/12,2)</f>
        <v>0</v>
      </c>
      <c r="M29" s="138">
        <f>L29*1</f>
        <v>0</v>
      </c>
      <c r="N29" s="135"/>
      <c r="O29" s="119">
        <f t="shared" si="0"/>
        <v>0</v>
      </c>
      <c r="P29" s="175">
        <f>ROUND(O29/24,2)</f>
        <v>0</v>
      </c>
      <c r="Q29" s="175">
        <f>P29*1</f>
        <v>0</v>
      </c>
      <c r="R29" s="176">
        <v>0</v>
      </c>
    </row>
    <row r="30" spans="1:18" x14ac:dyDescent="0.5">
      <c r="A30" s="55" t="s">
        <v>95</v>
      </c>
      <c r="B30" s="33" t="s">
        <v>3</v>
      </c>
      <c r="C30" s="195"/>
      <c r="D30" s="134">
        <f>ROUND(C30/18,2)</f>
        <v>0</v>
      </c>
      <c r="E30" s="134"/>
      <c r="F30" s="135">
        <f>SUM(D30,E31:E32)</f>
        <v>0</v>
      </c>
      <c r="G30" s="95"/>
      <c r="H30" s="134">
        <f>ROUND(G30/18,2)</f>
        <v>0</v>
      </c>
      <c r="I30" s="134"/>
      <c r="J30" s="135">
        <f>SUM(H30,I31:I32)</f>
        <v>0</v>
      </c>
      <c r="K30" s="106"/>
      <c r="L30" s="134">
        <f>ROUND(K30/18,2)</f>
        <v>0</v>
      </c>
      <c r="M30" s="134"/>
      <c r="N30" s="135">
        <f>SUM(L30,M31:M32)</f>
        <v>0</v>
      </c>
      <c r="O30" s="115">
        <f t="shared" si="0"/>
        <v>0</v>
      </c>
      <c r="P30" s="174">
        <f>ROUND(O30/36,2)</f>
        <v>0</v>
      </c>
      <c r="Q30" s="175"/>
      <c r="R30" s="176">
        <f>SUM(P30,Q31:Q32)</f>
        <v>0</v>
      </c>
    </row>
    <row r="31" spans="1:18" x14ac:dyDescent="0.5">
      <c r="A31" s="61"/>
      <c r="B31" s="33" t="s">
        <v>42</v>
      </c>
      <c r="C31" s="195"/>
      <c r="D31" s="134">
        <f>ROUND(C31/12,2)</f>
        <v>0</v>
      </c>
      <c r="E31" s="138">
        <f>D31*1</f>
        <v>0</v>
      </c>
      <c r="F31" s="135"/>
      <c r="G31" s="95"/>
      <c r="H31" s="134">
        <f>ROUND(G31/12,2)</f>
        <v>0</v>
      </c>
      <c r="I31" s="138">
        <f>H31*1</f>
        <v>0</v>
      </c>
      <c r="J31" s="135"/>
      <c r="K31" s="106"/>
      <c r="L31" s="134">
        <f>ROUND(K31/12,2)</f>
        <v>0</v>
      </c>
      <c r="M31" s="138">
        <f>L31*1</f>
        <v>0</v>
      </c>
      <c r="N31" s="135"/>
      <c r="O31" s="115">
        <f t="shared" si="0"/>
        <v>0</v>
      </c>
      <c r="P31" s="175">
        <f>ROUND(O31/24,2)</f>
        <v>0</v>
      </c>
      <c r="Q31" s="175">
        <f>P31*1</f>
        <v>0</v>
      </c>
      <c r="R31" s="176">
        <v>0</v>
      </c>
    </row>
    <row r="32" spans="1:18" x14ac:dyDescent="0.5">
      <c r="A32" s="61"/>
      <c r="B32" s="33" t="s">
        <v>43</v>
      </c>
      <c r="C32" s="195"/>
      <c r="D32" s="134">
        <f>ROUND(C32/12,2)</f>
        <v>0</v>
      </c>
      <c r="E32" s="138">
        <f>D32*1</f>
        <v>0</v>
      </c>
      <c r="F32" s="135"/>
      <c r="G32" s="95"/>
      <c r="H32" s="134">
        <f>ROUND(G32/12,2)</f>
        <v>0</v>
      </c>
      <c r="I32" s="138">
        <f>H32*1</f>
        <v>0</v>
      </c>
      <c r="J32" s="135"/>
      <c r="K32" s="106"/>
      <c r="L32" s="134">
        <f>ROUND(K32/12,2)</f>
        <v>0</v>
      </c>
      <c r="M32" s="138">
        <f>L32*1</f>
        <v>0</v>
      </c>
      <c r="N32" s="135"/>
      <c r="O32" s="119">
        <f t="shared" si="0"/>
        <v>0</v>
      </c>
      <c r="P32" s="175">
        <f>ROUND(O32/24,2)</f>
        <v>0</v>
      </c>
      <c r="Q32" s="175">
        <f>P32*1</f>
        <v>0</v>
      </c>
      <c r="R32" s="176">
        <v>0</v>
      </c>
    </row>
    <row r="33" spans="1:18" x14ac:dyDescent="0.5">
      <c r="A33" s="55" t="s">
        <v>96</v>
      </c>
      <c r="B33" s="33" t="s">
        <v>3</v>
      </c>
      <c r="C33" s="195"/>
      <c r="D33" s="134">
        <f>ROUND(C33/18,2)</f>
        <v>0</v>
      </c>
      <c r="E33" s="134"/>
      <c r="F33" s="135">
        <f>SUM(D33,E34:E35)</f>
        <v>0</v>
      </c>
      <c r="G33" s="95"/>
      <c r="H33" s="134">
        <f>ROUND(G33/18,2)</f>
        <v>0</v>
      </c>
      <c r="I33" s="134"/>
      <c r="J33" s="135">
        <f>SUM(H33,I34:I35)</f>
        <v>0</v>
      </c>
      <c r="K33" s="106"/>
      <c r="L33" s="134">
        <f>ROUND(K33/18,2)</f>
        <v>0</v>
      </c>
      <c r="M33" s="134"/>
      <c r="N33" s="135">
        <f>SUM(L33,M34:M35)</f>
        <v>0</v>
      </c>
      <c r="O33" s="115">
        <f t="shared" si="0"/>
        <v>0</v>
      </c>
      <c r="P33" s="174">
        <f>ROUND(O33/36,2)</f>
        <v>0</v>
      </c>
      <c r="Q33" s="175"/>
      <c r="R33" s="176">
        <f>SUM(P33,Q34:Q35)</f>
        <v>0</v>
      </c>
    </row>
    <row r="34" spans="1:18" x14ac:dyDescent="0.5">
      <c r="A34" s="61"/>
      <c r="B34" s="33" t="s">
        <v>42</v>
      </c>
      <c r="C34" s="195"/>
      <c r="D34" s="134">
        <f>ROUND(C34/12,2)</f>
        <v>0</v>
      </c>
      <c r="E34" s="138">
        <f>D34*1</f>
        <v>0</v>
      </c>
      <c r="F34" s="135"/>
      <c r="G34" s="95"/>
      <c r="H34" s="134">
        <f>ROUND(G34/12,2)</f>
        <v>0</v>
      </c>
      <c r="I34" s="138">
        <f>H34*1</f>
        <v>0</v>
      </c>
      <c r="J34" s="135"/>
      <c r="K34" s="106"/>
      <c r="L34" s="134">
        <f>ROUND(K34/12,2)</f>
        <v>0</v>
      </c>
      <c r="M34" s="138">
        <f>L34*1</f>
        <v>0</v>
      </c>
      <c r="N34" s="135"/>
      <c r="O34" s="115">
        <f t="shared" si="0"/>
        <v>0</v>
      </c>
      <c r="P34" s="175">
        <f>ROUND(O34/24,2)</f>
        <v>0</v>
      </c>
      <c r="Q34" s="175">
        <f>P34*1</f>
        <v>0</v>
      </c>
      <c r="R34" s="176">
        <v>0</v>
      </c>
    </row>
    <row r="35" spans="1:18" x14ac:dyDescent="0.5">
      <c r="A35" s="61"/>
      <c r="B35" s="33" t="s">
        <v>43</v>
      </c>
      <c r="C35" s="195"/>
      <c r="D35" s="134">
        <f>ROUND(C35/12,2)</f>
        <v>0</v>
      </c>
      <c r="E35" s="138">
        <f>D35*1</f>
        <v>0</v>
      </c>
      <c r="F35" s="135"/>
      <c r="G35" s="95"/>
      <c r="H35" s="134">
        <f>ROUND(G35/12,2)</f>
        <v>0</v>
      </c>
      <c r="I35" s="138">
        <f>H35*1</f>
        <v>0</v>
      </c>
      <c r="J35" s="135"/>
      <c r="K35" s="106"/>
      <c r="L35" s="134">
        <f>ROUND(K35/12,2)</f>
        <v>0</v>
      </c>
      <c r="M35" s="138">
        <f>L35*1</f>
        <v>0</v>
      </c>
      <c r="N35" s="135"/>
      <c r="O35" s="119">
        <f t="shared" si="0"/>
        <v>0</v>
      </c>
      <c r="P35" s="175">
        <f>ROUND(O35/24,2)</f>
        <v>0</v>
      </c>
      <c r="Q35" s="175">
        <f>P35*1</f>
        <v>0</v>
      </c>
      <c r="R35" s="176">
        <v>0</v>
      </c>
    </row>
    <row r="36" spans="1:18" x14ac:dyDescent="0.5">
      <c r="A36" s="55" t="s">
        <v>97</v>
      </c>
      <c r="B36" s="33" t="s">
        <v>3</v>
      </c>
      <c r="C36" s="195"/>
      <c r="D36" s="134">
        <f>ROUND(C36/18,2)</f>
        <v>0</v>
      </c>
      <c r="E36" s="134"/>
      <c r="F36" s="135">
        <f>SUM(D36,E37:E38)</f>
        <v>0</v>
      </c>
      <c r="G36" s="95"/>
      <c r="H36" s="134">
        <f>ROUND(G36/18,2)</f>
        <v>0</v>
      </c>
      <c r="I36" s="134"/>
      <c r="J36" s="135">
        <f>SUM(H36,I37:I38)</f>
        <v>0</v>
      </c>
      <c r="K36" s="106"/>
      <c r="L36" s="134">
        <f>ROUND(K36/18,2)</f>
        <v>0</v>
      </c>
      <c r="M36" s="134"/>
      <c r="N36" s="135">
        <f>SUM(L36,M37:M38)</f>
        <v>0</v>
      </c>
      <c r="O36" s="115">
        <f t="shared" si="0"/>
        <v>0</v>
      </c>
      <c r="P36" s="174">
        <f>ROUND(O36/36,2)</f>
        <v>0</v>
      </c>
      <c r="Q36" s="175"/>
      <c r="R36" s="176">
        <f>SUM(P36,Q37:Q38)</f>
        <v>0</v>
      </c>
    </row>
    <row r="37" spans="1:18" x14ac:dyDescent="0.5">
      <c r="A37" s="61"/>
      <c r="B37" s="33" t="s">
        <v>42</v>
      </c>
      <c r="C37" s="195"/>
      <c r="D37" s="134">
        <f>ROUND(C37/12,2)</f>
        <v>0</v>
      </c>
      <c r="E37" s="138">
        <f>D37*1</f>
        <v>0</v>
      </c>
      <c r="F37" s="135"/>
      <c r="G37" s="95"/>
      <c r="H37" s="134">
        <f>ROUND(G37/12,2)</f>
        <v>0</v>
      </c>
      <c r="I37" s="138">
        <f>H37*1</f>
        <v>0</v>
      </c>
      <c r="J37" s="135"/>
      <c r="K37" s="106"/>
      <c r="L37" s="134">
        <f>ROUND(K37/12,2)</f>
        <v>0</v>
      </c>
      <c r="M37" s="138">
        <f>L37*1</f>
        <v>0</v>
      </c>
      <c r="N37" s="135"/>
      <c r="O37" s="115">
        <f t="shared" si="0"/>
        <v>0</v>
      </c>
      <c r="P37" s="175">
        <f>ROUND(O37/24,2)</f>
        <v>0</v>
      </c>
      <c r="Q37" s="175">
        <f>P37*1</f>
        <v>0</v>
      </c>
      <c r="R37" s="176">
        <v>0</v>
      </c>
    </row>
    <row r="38" spans="1:18" x14ac:dyDescent="0.5">
      <c r="A38" s="61"/>
      <c r="B38" s="33" t="s">
        <v>43</v>
      </c>
      <c r="C38" s="195"/>
      <c r="D38" s="134">
        <f>ROUND(C38/12,2)</f>
        <v>0</v>
      </c>
      <c r="E38" s="138">
        <f>D38*1</f>
        <v>0</v>
      </c>
      <c r="F38" s="135"/>
      <c r="G38" s="95"/>
      <c r="H38" s="134">
        <f>ROUND(G38/12,2)</f>
        <v>0</v>
      </c>
      <c r="I38" s="138">
        <f>H38*1</f>
        <v>0</v>
      </c>
      <c r="J38" s="135"/>
      <c r="K38" s="106"/>
      <c r="L38" s="134">
        <f>ROUND(K38/12,2)</f>
        <v>0</v>
      </c>
      <c r="M38" s="138">
        <f>L38*1</f>
        <v>0</v>
      </c>
      <c r="N38" s="135"/>
      <c r="O38" s="119">
        <f t="shared" si="0"/>
        <v>0</v>
      </c>
      <c r="P38" s="175">
        <f>ROUND(O38/24,2)</f>
        <v>0</v>
      </c>
      <c r="Q38" s="175">
        <f>P38*1</f>
        <v>0</v>
      </c>
      <c r="R38" s="176">
        <v>0</v>
      </c>
    </row>
    <row r="39" spans="1:18" x14ac:dyDescent="0.5">
      <c r="A39" s="55" t="s">
        <v>98</v>
      </c>
      <c r="B39" s="33" t="s">
        <v>3</v>
      </c>
      <c r="C39" s="195"/>
      <c r="D39" s="134">
        <f>ROUND(C39/18,2)</f>
        <v>0</v>
      </c>
      <c r="E39" s="134"/>
      <c r="F39" s="135">
        <f>SUM(D39,E40:E41)</f>
        <v>0</v>
      </c>
      <c r="G39" s="95"/>
      <c r="H39" s="134">
        <f>ROUND(G39/18,2)</f>
        <v>0</v>
      </c>
      <c r="I39" s="134"/>
      <c r="J39" s="135">
        <f>SUM(H39,I40:I41)</f>
        <v>0</v>
      </c>
      <c r="K39" s="106"/>
      <c r="L39" s="134">
        <f>ROUND(K39/18,2)</f>
        <v>0</v>
      </c>
      <c r="M39" s="134"/>
      <c r="N39" s="135">
        <f>SUM(L39,M40:M41)</f>
        <v>0</v>
      </c>
      <c r="O39" s="115">
        <f t="shared" si="0"/>
        <v>0</v>
      </c>
      <c r="P39" s="174">
        <f>ROUND(O39/36,2)</f>
        <v>0</v>
      </c>
      <c r="Q39" s="175"/>
      <c r="R39" s="176">
        <f>SUM(P39,Q40:Q41)</f>
        <v>0</v>
      </c>
    </row>
    <row r="40" spans="1:18" x14ac:dyDescent="0.5">
      <c r="A40" s="61"/>
      <c r="B40" s="33" t="s">
        <v>42</v>
      </c>
      <c r="C40" s="195"/>
      <c r="D40" s="134">
        <f>ROUND(C40/12,2)</f>
        <v>0</v>
      </c>
      <c r="E40" s="138">
        <f>D40*1</f>
        <v>0</v>
      </c>
      <c r="F40" s="135"/>
      <c r="G40" s="95"/>
      <c r="H40" s="134">
        <f>ROUND(G40/12,2)</f>
        <v>0</v>
      </c>
      <c r="I40" s="138">
        <f>H40*1</f>
        <v>0</v>
      </c>
      <c r="J40" s="135"/>
      <c r="K40" s="106"/>
      <c r="L40" s="134">
        <f>ROUND(K40/12,2)</f>
        <v>0</v>
      </c>
      <c r="M40" s="138">
        <f>L40*1</f>
        <v>0</v>
      </c>
      <c r="N40" s="135"/>
      <c r="O40" s="115">
        <f t="shared" si="0"/>
        <v>0</v>
      </c>
      <c r="P40" s="175">
        <f>ROUND(O40/24,2)</f>
        <v>0</v>
      </c>
      <c r="Q40" s="175">
        <f>P40*1</f>
        <v>0</v>
      </c>
      <c r="R40" s="176">
        <v>0</v>
      </c>
    </row>
    <row r="41" spans="1:18" x14ac:dyDescent="0.5">
      <c r="A41" s="61"/>
      <c r="B41" s="33" t="s">
        <v>43</v>
      </c>
      <c r="C41" s="195"/>
      <c r="D41" s="134">
        <f>ROUND(C41/12,2)</f>
        <v>0</v>
      </c>
      <c r="E41" s="138">
        <f>D41*1</f>
        <v>0</v>
      </c>
      <c r="F41" s="135"/>
      <c r="G41" s="95"/>
      <c r="H41" s="134">
        <f>ROUND(G41/12,2)</f>
        <v>0</v>
      </c>
      <c r="I41" s="138">
        <f>H41*1</f>
        <v>0</v>
      </c>
      <c r="J41" s="135"/>
      <c r="K41" s="106"/>
      <c r="L41" s="134">
        <f>ROUND(K41/12,2)</f>
        <v>0</v>
      </c>
      <c r="M41" s="138">
        <f>L41*1</f>
        <v>0</v>
      </c>
      <c r="N41" s="135"/>
      <c r="O41" s="119">
        <f t="shared" si="0"/>
        <v>0</v>
      </c>
      <c r="P41" s="175">
        <f>ROUND(O41/24,2)</f>
        <v>0</v>
      </c>
      <c r="Q41" s="175">
        <f>P41*1</f>
        <v>0</v>
      </c>
      <c r="R41" s="176">
        <v>0</v>
      </c>
    </row>
    <row r="42" spans="1:18" x14ac:dyDescent="0.5">
      <c r="A42" s="55" t="s">
        <v>104</v>
      </c>
      <c r="B42" s="33" t="s">
        <v>3</v>
      </c>
      <c r="C42" s="195"/>
      <c r="D42" s="134">
        <f>ROUND(C42/18,2)</f>
        <v>0</v>
      </c>
      <c r="E42" s="134"/>
      <c r="F42" s="135">
        <f>SUM(D42,E43:E44)</f>
        <v>0</v>
      </c>
      <c r="G42" s="95"/>
      <c r="H42" s="134">
        <f>ROUND(G42/18,2)</f>
        <v>0</v>
      </c>
      <c r="I42" s="134"/>
      <c r="J42" s="135">
        <f>SUM(H42,I43:I44)</f>
        <v>0</v>
      </c>
      <c r="K42" s="106"/>
      <c r="L42" s="134">
        <f>ROUND(K42/18,2)</f>
        <v>0</v>
      </c>
      <c r="M42" s="134"/>
      <c r="N42" s="135">
        <f>SUM(L42,M43:M44)</f>
        <v>0</v>
      </c>
      <c r="O42" s="115">
        <f t="shared" si="0"/>
        <v>0</v>
      </c>
      <c r="P42" s="174">
        <f>ROUND(O42/36,2)</f>
        <v>0</v>
      </c>
      <c r="Q42" s="175"/>
      <c r="R42" s="176">
        <f>SUM(P42,Q43:Q44)</f>
        <v>0</v>
      </c>
    </row>
    <row r="43" spans="1:18" x14ac:dyDescent="0.5">
      <c r="A43" s="61"/>
      <c r="B43" s="33" t="s">
        <v>42</v>
      </c>
      <c r="C43" s="195"/>
      <c r="D43" s="134">
        <f>ROUND(C43/12,2)</f>
        <v>0</v>
      </c>
      <c r="E43" s="138">
        <f>D43*1</f>
        <v>0</v>
      </c>
      <c r="F43" s="135"/>
      <c r="G43" s="95"/>
      <c r="H43" s="134">
        <f>ROUND(G43/12,2)</f>
        <v>0</v>
      </c>
      <c r="I43" s="138">
        <f>H43*1</f>
        <v>0</v>
      </c>
      <c r="J43" s="135"/>
      <c r="K43" s="106"/>
      <c r="L43" s="134">
        <f>ROUND(K43/12,2)</f>
        <v>0</v>
      </c>
      <c r="M43" s="138">
        <f>L43*1</f>
        <v>0</v>
      </c>
      <c r="N43" s="135"/>
      <c r="O43" s="115">
        <f t="shared" si="0"/>
        <v>0</v>
      </c>
      <c r="P43" s="175">
        <f>ROUND(O43/24,2)</f>
        <v>0</v>
      </c>
      <c r="Q43" s="175">
        <f>P43*1</f>
        <v>0</v>
      </c>
      <c r="R43" s="176">
        <v>0</v>
      </c>
    </row>
    <row r="44" spans="1:18" x14ac:dyDescent="0.5">
      <c r="A44" s="61"/>
      <c r="B44" s="33" t="s">
        <v>43</v>
      </c>
      <c r="C44" s="195"/>
      <c r="D44" s="134">
        <f>ROUND(C44/12,2)</f>
        <v>0</v>
      </c>
      <c r="E44" s="138">
        <f>D44*1</f>
        <v>0</v>
      </c>
      <c r="F44" s="135"/>
      <c r="G44" s="95"/>
      <c r="H44" s="134">
        <f>ROUND(G44/12,2)</f>
        <v>0</v>
      </c>
      <c r="I44" s="138">
        <f>H44*1</f>
        <v>0</v>
      </c>
      <c r="J44" s="135"/>
      <c r="K44" s="106"/>
      <c r="L44" s="134">
        <f>ROUND(K44/12,2)</f>
        <v>0</v>
      </c>
      <c r="M44" s="138">
        <f>L44*1</f>
        <v>0</v>
      </c>
      <c r="N44" s="135"/>
      <c r="O44" s="119">
        <f t="shared" si="0"/>
        <v>0</v>
      </c>
      <c r="P44" s="175">
        <f>ROUND(O44/24,2)</f>
        <v>0</v>
      </c>
      <c r="Q44" s="175">
        <f>P44*1</f>
        <v>0</v>
      </c>
      <c r="R44" s="176">
        <v>0</v>
      </c>
    </row>
    <row r="45" spans="1:18" x14ac:dyDescent="0.5">
      <c r="A45" s="55" t="s">
        <v>99</v>
      </c>
      <c r="B45" s="33" t="s">
        <v>3</v>
      </c>
      <c r="C45" s="195"/>
      <c r="D45" s="134">
        <f>ROUND(C45/18,2)</f>
        <v>0</v>
      </c>
      <c r="E45" s="134"/>
      <c r="F45" s="135">
        <f>SUM(D45,E46:E47)</f>
        <v>0</v>
      </c>
      <c r="G45" s="95"/>
      <c r="H45" s="134">
        <f>ROUND(G45/18,2)</f>
        <v>0</v>
      </c>
      <c r="I45" s="134"/>
      <c r="J45" s="135">
        <f>SUM(H45,I46:I47)</f>
        <v>0</v>
      </c>
      <c r="K45" s="106"/>
      <c r="L45" s="134">
        <f>ROUND(K45/18,2)</f>
        <v>0</v>
      </c>
      <c r="M45" s="134"/>
      <c r="N45" s="135">
        <f>SUM(L45,M46:M47)</f>
        <v>0</v>
      </c>
      <c r="O45" s="115">
        <f t="shared" si="0"/>
        <v>0</v>
      </c>
      <c r="P45" s="174">
        <f>ROUND(O45/36,2)</f>
        <v>0</v>
      </c>
      <c r="Q45" s="175"/>
      <c r="R45" s="176">
        <f>SUM(P45,Q46:Q47)</f>
        <v>0</v>
      </c>
    </row>
    <row r="46" spans="1:18" x14ac:dyDescent="0.5">
      <c r="A46" s="61"/>
      <c r="B46" s="33" t="s">
        <v>42</v>
      </c>
      <c r="C46" s="195"/>
      <c r="D46" s="134">
        <f>ROUND(C46/12,2)</f>
        <v>0</v>
      </c>
      <c r="E46" s="138">
        <f>D46*1</f>
        <v>0</v>
      </c>
      <c r="F46" s="135"/>
      <c r="G46" s="95"/>
      <c r="H46" s="134">
        <f>ROUND(G46/12,2)</f>
        <v>0</v>
      </c>
      <c r="I46" s="138">
        <f>H46*1</f>
        <v>0</v>
      </c>
      <c r="J46" s="135"/>
      <c r="K46" s="106"/>
      <c r="L46" s="134">
        <f>ROUND(K46/12,2)</f>
        <v>0</v>
      </c>
      <c r="M46" s="138">
        <f>L46*1</f>
        <v>0</v>
      </c>
      <c r="N46" s="135"/>
      <c r="O46" s="115">
        <f t="shared" si="0"/>
        <v>0</v>
      </c>
      <c r="P46" s="175">
        <f>ROUND(O46/24,2)</f>
        <v>0</v>
      </c>
      <c r="Q46" s="175">
        <f>P46*1</f>
        <v>0</v>
      </c>
      <c r="R46" s="176">
        <v>0</v>
      </c>
    </row>
    <row r="47" spans="1:18" x14ac:dyDescent="0.5">
      <c r="A47" s="61"/>
      <c r="B47" s="33" t="s">
        <v>43</v>
      </c>
      <c r="C47" s="195"/>
      <c r="D47" s="134">
        <f>ROUND(C47/12,2)</f>
        <v>0</v>
      </c>
      <c r="E47" s="138">
        <f>D47*1</f>
        <v>0</v>
      </c>
      <c r="F47" s="135"/>
      <c r="G47" s="95"/>
      <c r="H47" s="134">
        <f>ROUND(G47/12,2)</f>
        <v>0</v>
      </c>
      <c r="I47" s="138">
        <f>H47*1</f>
        <v>0</v>
      </c>
      <c r="J47" s="135"/>
      <c r="K47" s="106"/>
      <c r="L47" s="134">
        <f>ROUND(K47/12,2)</f>
        <v>0</v>
      </c>
      <c r="M47" s="138">
        <f>L47*1</f>
        <v>0</v>
      </c>
      <c r="N47" s="135"/>
      <c r="O47" s="119">
        <f t="shared" si="0"/>
        <v>0</v>
      </c>
      <c r="P47" s="175">
        <f>ROUND(O47/24,2)</f>
        <v>0</v>
      </c>
      <c r="Q47" s="175">
        <f>P47*1</f>
        <v>0</v>
      </c>
      <c r="R47" s="176">
        <v>0</v>
      </c>
    </row>
    <row r="48" spans="1:18" x14ac:dyDescent="0.5">
      <c r="A48" s="54" t="s">
        <v>56</v>
      </c>
      <c r="B48" s="38" t="s">
        <v>3</v>
      </c>
      <c r="C48" s="78">
        <f>SUM(C21,C24,C27,C30,C33,C36,C39,C42,C45)</f>
        <v>0</v>
      </c>
      <c r="D48" s="140">
        <f>ROUND(C48/18,2)</f>
        <v>0</v>
      </c>
      <c r="E48" s="140"/>
      <c r="F48" s="141">
        <f>SUM(D48,E49:E50)</f>
        <v>0</v>
      </c>
      <c r="G48" s="78">
        <f>SUM(G21,G24,G27,G30,G33,G36,G39,G42,G45)</f>
        <v>0</v>
      </c>
      <c r="H48" s="140">
        <f>ROUND(G48/18,2)</f>
        <v>0</v>
      </c>
      <c r="I48" s="140"/>
      <c r="J48" s="141">
        <f>SUM(H48,I49:I50)</f>
        <v>0</v>
      </c>
      <c r="K48" s="78">
        <f>SUM(K21,K24,K27,K30,K33,K36,K39,K42,K45)</f>
        <v>0</v>
      </c>
      <c r="L48" s="140">
        <f>ROUND(K48/18,2)</f>
        <v>0</v>
      </c>
      <c r="M48" s="140"/>
      <c r="N48" s="141">
        <f>SUM(L48,M49:M50)</f>
        <v>0</v>
      </c>
      <c r="O48" s="120">
        <f t="shared" si="0"/>
        <v>0</v>
      </c>
      <c r="P48" s="184">
        <f>ROUND(O48/36,2)</f>
        <v>0</v>
      </c>
      <c r="Q48" s="185"/>
      <c r="R48" s="176">
        <f>SUM(P48,Q49:Q50)</f>
        <v>0</v>
      </c>
    </row>
    <row r="49" spans="1:18" x14ac:dyDescent="0.5">
      <c r="A49" s="55"/>
      <c r="B49" s="38" t="s">
        <v>42</v>
      </c>
      <c r="C49" s="78">
        <f>SUM(C22,C25,C28,C31,C34,C37,C40,C43,C46)</f>
        <v>0</v>
      </c>
      <c r="D49" s="140">
        <f>ROUND(C49/12,2)</f>
        <v>0</v>
      </c>
      <c r="E49" s="140">
        <f>D49*1</f>
        <v>0</v>
      </c>
      <c r="F49" s="141"/>
      <c r="G49" s="78">
        <f>SUM(G22,G25,G28,G31,G34,G37,G40,G43,G46)</f>
        <v>0</v>
      </c>
      <c r="H49" s="140">
        <f>ROUND(G49/12,2)</f>
        <v>0</v>
      </c>
      <c r="I49" s="140">
        <f>H49*1</f>
        <v>0</v>
      </c>
      <c r="J49" s="141"/>
      <c r="K49" s="78">
        <f>SUM(K22,K25,K28,K31,K34,K37,K40,K43,K46)</f>
        <v>0</v>
      </c>
      <c r="L49" s="140">
        <f>ROUND(K49/12,2)</f>
        <v>0</v>
      </c>
      <c r="M49" s="140">
        <f>L49*1</f>
        <v>0</v>
      </c>
      <c r="N49" s="141"/>
      <c r="O49" s="120">
        <f t="shared" si="0"/>
        <v>0</v>
      </c>
      <c r="P49" s="184">
        <f>ROUND(O49/24,2)</f>
        <v>0</v>
      </c>
      <c r="Q49" s="185">
        <f>P49*1</f>
        <v>0</v>
      </c>
      <c r="R49" s="176">
        <v>0</v>
      </c>
    </row>
    <row r="50" spans="1:18" ht="22.5" thickBot="1" x14ac:dyDescent="0.55000000000000004">
      <c r="A50" s="60"/>
      <c r="B50" s="39" t="s">
        <v>43</v>
      </c>
      <c r="C50" s="79">
        <f>SUM(C23,C26,C29,C32,C35,C38,C41,C44,C47)</f>
        <v>0</v>
      </c>
      <c r="D50" s="142">
        <f>ROUND(C50/12,2)</f>
        <v>0</v>
      </c>
      <c r="E50" s="142">
        <f>D50*1</f>
        <v>0</v>
      </c>
      <c r="F50" s="143"/>
      <c r="G50" s="79">
        <f>SUM(G23,G26,G29,G32,G35,G38,G41,G44,G47)</f>
        <v>0</v>
      </c>
      <c r="H50" s="142">
        <f>ROUND(G50/12,2)</f>
        <v>0</v>
      </c>
      <c r="I50" s="142">
        <f>H50*1</f>
        <v>0</v>
      </c>
      <c r="J50" s="143"/>
      <c r="K50" s="79">
        <f>SUM(K23,K26,K29,K32,K35,K38,K41,K44,K47)</f>
        <v>0</v>
      </c>
      <c r="L50" s="142">
        <f>ROUND(K50/12,2)</f>
        <v>0</v>
      </c>
      <c r="M50" s="142">
        <f>L50*1</f>
        <v>0</v>
      </c>
      <c r="N50" s="143"/>
      <c r="O50" s="121">
        <f t="shared" si="0"/>
        <v>0</v>
      </c>
      <c r="P50" s="186">
        <f>ROUND(O50/24,2)</f>
        <v>0</v>
      </c>
      <c r="Q50" s="187">
        <f>P50*1</f>
        <v>0</v>
      </c>
      <c r="R50" s="179">
        <v>0</v>
      </c>
    </row>
    <row r="51" spans="1:18" x14ac:dyDescent="0.5">
      <c r="A51" s="58" t="s">
        <v>8</v>
      </c>
      <c r="B51" s="36"/>
      <c r="C51" s="197"/>
      <c r="D51" s="138"/>
      <c r="E51" s="138"/>
      <c r="F51" s="139"/>
      <c r="G51" s="97"/>
      <c r="H51" s="138"/>
      <c r="I51" s="168"/>
      <c r="J51" s="139"/>
      <c r="K51" s="110"/>
      <c r="L51" s="138"/>
      <c r="M51" s="138"/>
      <c r="N51" s="139"/>
      <c r="O51" s="117"/>
      <c r="P51" s="183"/>
      <c r="Q51" s="181"/>
      <c r="R51" s="182"/>
    </row>
    <row r="52" spans="1:18" x14ac:dyDescent="0.5">
      <c r="A52" s="55" t="s">
        <v>41</v>
      </c>
      <c r="B52" s="33" t="s">
        <v>3</v>
      </c>
      <c r="C52" s="195">
        <f>8106+567</f>
        <v>8673</v>
      </c>
      <c r="D52" s="134">
        <f>ROUND(C52/18,2)</f>
        <v>481.83</v>
      </c>
      <c r="E52" s="134"/>
      <c r="F52" s="135">
        <f>SUM(D52,E53:E54)</f>
        <v>481.83</v>
      </c>
      <c r="G52" s="76">
        <f>7878+990</f>
        <v>8868</v>
      </c>
      <c r="H52" s="134">
        <f>ROUND(G52/18,2)</f>
        <v>492.67</v>
      </c>
      <c r="I52" s="134"/>
      <c r="J52" s="135">
        <f>SUM(H52,I53:I54)</f>
        <v>492.67</v>
      </c>
      <c r="K52" s="106">
        <f>1635+654</f>
        <v>2289</v>
      </c>
      <c r="L52" s="134">
        <f>ROUND(K52/18,2)</f>
        <v>127.17</v>
      </c>
      <c r="M52" s="134"/>
      <c r="N52" s="135">
        <f>SUM(L52,M53:M54)</f>
        <v>127.17</v>
      </c>
      <c r="O52" s="115">
        <f>SUM(C52,G52,K52)</f>
        <v>19830</v>
      </c>
      <c r="P52" s="174">
        <f>ROUND(O52/36,2)</f>
        <v>550.83000000000004</v>
      </c>
      <c r="Q52" s="175" t="s">
        <v>44</v>
      </c>
      <c r="R52" s="176">
        <f>SUM(P52,Q53:Q54)</f>
        <v>550.83000000000004</v>
      </c>
    </row>
    <row r="53" spans="1:18" x14ac:dyDescent="0.5">
      <c r="A53" s="61"/>
      <c r="B53" s="33" t="s">
        <v>42</v>
      </c>
      <c r="C53" s="195"/>
      <c r="D53" s="134">
        <f>ROUND(C53/12,2)</f>
        <v>0</v>
      </c>
      <c r="E53" s="134">
        <f>D53*2</f>
        <v>0</v>
      </c>
      <c r="F53" s="135"/>
      <c r="G53" s="95"/>
      <c r="H53" s="134">
        <f>ROUND(G53/12,2)</f>
        <v>0</v>
      </c>
      <c r="I53" s="134">
        <f>H53*2</f>
        <v>0</v>
      </c>
      <c r="J53" s="135"/>
      <c r="K53" s="106"/>
      <c r="L53" s="134">
        <f>ROUND(K53/12,2)</f>
        <v>0</v>
      </c>
      <c r="M53" s="134">
        <f>L53*2</f>
        <v>0</v>
      </c>
      <c r="N53" s="135"/>
      <c r="O53" s="115">
        <f>SUM(C53,G53,K53)</f>
        <v>0</v>
      </c>
      <c r="P53" s="174">
        <f>ROUND(O53/24,2)</f>
        <v>0</v>
      </c>
      <c r="Q53" s="175">
        <f>P53*2</f>
        <v>0</v>
      </c>
      <c r="R53" s="176">
        <v>0</v>
      </c>
    </row>
    <row r="54" spans="1:18" ht="22.5" thickBot="1" x14ac:dyDescent="0.55000000000000004">
      <c r="A54" s="62"/>
      <c r="B54" s="34" t="s">
        <v>43</v>
      </c>
      <c r="C54" s="80"/>
      <c r="D54" s="136">
        <f>ROUND(C54/12,2)</f>
        <v>0</v>
      </c>
      <c r="E54" s="136">
        <f>D54*2</f>
        <v>0</v>
      </c>
      <c r="F54" s="137"/>
      <c r="G54" s="96"/>
      <c r="H54" s="136">
        <f>ROUND(G54/12,2)</f>
        <v>0</v>
      </c>
      <c r="I54" s="136">
        <f>H54*2</f>
        <v>0</v>
      </c>
      <c r="J54" s="137"/>
      <c r="K54" s="109"/>
      <c r="L54" s="136">
        <f>ROUND(K54/12,2)</f>
        <v>0</v>
      </c>
      <c r="M54" s="136">
        <f>L54*2</f>
        <v>0</v>
      </c>
      <c r="N54" s="137"/>
      <c r="O54" s="116">
        <f>SUM(C54,G54,K54)</f>
        <v>0</v>
      </c>
      <c r="P54" s="177">
        <f>ROUND(O54/24,2)</f>
        <v>0</v>
      </c>
      <c r="Q54" s="178">
        <f>P54*2</f>
        <v>0</v>
      </c>
      <c r="R54" s="179">
        <v>0</v>
      </c>
    </row>
    <row r="55" spans="1:18" x14ac:dyDescent="0.5">
      <c r="A55" s="58" t="s">
        <v>9</v>
      </c>
      <c r="B55" s="36"/>
      <c r="C55" s="196"/>
      <c r="D55" s="138"/>
      <c r="E55" s="138"/>
      <c r="F55" s="139"/>
      <c r="G55" s="97"/>
      <c r="H55" s="138"/>
      <c r="I55" s="168"/>
      <c r="J55" s="139"/>
      <c r="K55" s="110"/>
      <c r="L55" s="138"/>
      <c r="M55" s="138"/>
      <c r="N55" s="139"/>
      <c r="O55" s="117"/>
      <c r="P55" s="183"/>
      <c r="Q55" s="181"/>
      <c r="R55" s="182"/>
    </row>
    <row r="56" spans="1:18" x14ac:dyDescent="0.5">
      <c r="A56" s="55" t="s">
        <v>41</v>
      </c>
      <c r="B56" s="33" t="s">
        <v>3</v>
      </c>
      <c r="C56" s="195"/>
      <c r="D56" s="134">
        <f>ROUND(C56/18,2)</f>
        <v>0</v>
      </c>
      <c r="E56" s="134"/>
      <c r="F56" s="135">
        <f>SUM(D56,E57:E58)</f>
        <v>0</v>
      </c>
      <c r="G56" s="95"/>
      <c r="H56" s="134">
        <f>ROUND(G56/18,2)</f>
        <v>0</v>
      </c>
      <c r="I56" s="134"/>
      <c r="J56" s="135">
        <f>SUM(H56,I57:I58)</f>
        <v>0</v>
      </c>
      <c r="K56" s="106"/>
      <c r="L56" s="134">
        <f>ROUND(K56/18,2)</f>
        <v>0</v>
      </c>
      <c r="M56" s="134"/>
      <c r="N56" s="135">
        <f>SUM(L56,M57:M58)</f>
        <v>0</v>
      </c>
      <c r="O56" s="115">
        <f>SUM(C56,G56,K56)</f>
        <v>0</v>
      </c>
      <c r="P56" s="174">
        <f>ROUND(O56/36,2)</f>
        <v>0</v>
      </c>
      <c r="Q56" s="175">
        <v>0</v>
      </c>
      <c r="R56" s="176">
        <f>SUM(P56,Q57:Q58)</f>
        <v>0</v>
      </c>
    </row>
    <row r="57" spans="1:18" x14ac:dyDescent="0.5">
      <c r="A57" s="61"/>
      <c r="B57" s="33" t="s">
        <v>42</v>
      </c>
      <c r="C57" s="195"/>
      <c r="D57" s="134">
        <f>ROUND(C57/12,2)</f>
        <v>0</v>
      </c>
      <c r="E57" s="134">
        <f>D57*1</f>
        <v>0</v>
      </c>
      <c r="F57" s="135"/>
      <c r="G57" s="95"/>
      <c r="H57" s="134">
        <f>ROUND(G57/12,2)</f>
        <v>0</v>
      </c>
      <c r="I57" s="134">
        <f>H57*1</f>
        <v>0</v>
      </c>
      <c r="J57" s="135"/>
      <c r="K57" s="95"/>
      <c r="L57" s="134">
        <f>ROUND(K57/12,2)</f>
        <v>0</v>
      </c>
      <c r="M57" s="134">
        <f>L57*1</f>
        <v>0</v>
      </c>
      <c r="N57" s="135"/>
      <c r="O57" s="115">
        <f>SUM(C57,G57,K57)</f>
        <v>0</v>
      </c>
      <c r="P57" s="174">
        <f>ROUND(O57/24,2)</f>
        <v>0</v>
      </c>
      <c r="Q57" s="175">
        <f>P57*1</f>
        <v>0</v>
      </c>
      <c r="R57" s="176">
        <v>0</v>
      </c>
    </row>
    <row r="58" spans="1:18" ht="22.5" thickBot="1" x14ac:dyDescent="0.55000000000000004">
      <c r="A58" s="62"/>
      <c r="B58" s="34" t="s">
        <v>43</v>
      </c>
      <c r="C58" s="80"/>
      <c r="D58" s="136">
        <f>ROUND(C58/12,2)</f>
        <v>0</v>
      </c>
      <c r="E58" s="136">
        <f>D58*1</f>
        <v>0</v>
      </c>
      <c r="F58" s="137"/>
      <c r="G58" s="96"/>
      <c r="H58" s="136">
        <f>ROUND(G58/12,2)</f>
        <v>0</v>
      </c>
      <c r="I58" s="136">
        <f>H58*1</f>
        <v>0</v>
      </c>
      <c r="J58" s="137"/>
      <c r="K58" s="96"/>
      <c r="L58" s="136">
        <f>ROUND(K58/12,2)</f>
        <v>0</v>
      </c>
      <c r="M58" s="136">
        <f>L58*1</f>
        <v>0</v>
      </c>
      <c r="N58" s="137"/>
      <c r="O58" s="116">
        <f>SUM(C58,G58,K58)</f>
        <v>0</v>
      </c>
      <c r="P58" s="177">
        <f>ROUND(O58/24,2)</f>
        <v>0</v>
      </c>
      <c r="Q58" s="178">
        <f>P58*1</f>
        <v>0</v>
      </c>
      <c r="R58" s="179">
        <v>0</v>
      </c>
    </row>
    <row r="59" spans="1:18" x14ac:dyDescent="0.5">
      <c r="A59" s="58" t="s">
        <v>10</v>
      </c>
      <c r="B59" s="36"/>
      <c r="C59" s="196"/>
      <c r="D59" s="138"/>
      <c r="E59" s="138"/>
      <c r="F59" s="139"/>
      <c r="G59" s="97"/>
      <c r="H59" s="138"/>
      <c r="I59" s="168"/>
      <c r="J59" s="139"/>
      <c r="K59" s="108"/>
      <c r="L59" s="138"/>
      <c r="M59" s="138"/>
      <c r="N59" s="139"/>
      <c r="O59" s="118"/>
      <c r="P59" s="183"/>
      <c r="Q59" s="181"/>
      <c r="R59" s="182"/>
    </row>
    <row r="60" spans="1:18" x14ac:dyDescent="0.5">
      <c r="A60" s="55" t="s">
        <v>45</v>
      </c>
      <c r="B60" s="33" t="s">
        <v>3</v>
      </c>
      <c r="C60" s="199">
        <f>7497</f>
        <v>7497</v>
      </c>
      <c r="D60" s="134">
        <f>ROUND(C60/18,2)</f>
        <v>416.5</v>
      </c>
      <c r="E60" s="134"/>
      <c r="F60" s="135">
        <f>SUM(D60,E61:E62)</f>
        <v>416.5</v>
      </c>
      <c r="G60" s="95">
        <f>5611</f>
        <v>5611</v>
      </c>
      <c r="H60" s="134">
        <f>ROUND(G60/18,2)</f>
        <v>311.72000000000003</v>
      </c>
      <c r="I60" s="134"/>
      <c r="J60" s="135">
        <f>SUM(H60,I61:I62)</f>
        <v>311.72000000000003</v>
      </c>
      <c r="K60" s="106">
        <f>2611</f>
        <v>2611</v>
      </c>
      <c r="L60" s="134">
        <f>ROUND(K60/18,2)</f>
        <v>145.06</v>
      </c>
      <c r="M60" s="134"/>
      <c r="N60" s="135">
        <f>SUM(L60,M61:M62)</f>
        <v>145.06</v>
      </c>
      <c r="O60" s="115">
        <f t="shared" ref="O60:O95" si="1">SUM(C60,G60,K60)</f>
        <v>15719</v>
      </c>
      <c r="P60" s="174">
        <f>ROUND(O60/36,2)</f>
        <v>436.64</v>
      </c>
      <c r="Q60" s="175" t="s">
        <v>44</v>
      </c>
      <c r="R60" s="176">
        <f>SUM(P60,Q61:Q62)</f>
        <v>436.64</v>
      </c>
    </row>
    <row r="61" spans="1:18" x14ac:dyDescent="0.5">
      <c r="A61" s="61"/>
      <c r="B61" s="33" t="s">
        <v>42</v>
      </c>
      <c r="C61" s="195"/>
      <c r="D61" s="134">
        <f>ROUND(C61/12,2)</f>
        <v>0</v>
      </c>
      <c r="E61" s="134">
        <f>D61*1.8</f>
        <v>0</v>
      </c>
      <c r="F61" s="135"/>
      <c r="G61" s="95"/>
      <c r="H61" s="134">
        <f>ROUND(G61/12,2)</f>
        <v>0</v>
      </c>
      <c r="I61" s="134">
        <f>H61*1.8</f>
        <v>0</v>
      </c>
      <c r="J61" s="135"/>
      <c r="K61" s="95"/>
      <c r="L61" s="134">
        <f>ROUND(K61/12,2)</f>
        <v>0</v>
      </c>
      <c r="M61" s="134">
        <f>L61*1.8</f>
        <v>0</v>
      </c>
      <c r="N61" s="135"/>
      <c r="O61" s="115">
        <f t="shared" si="1"/>
        <v>0</v>
      </c>
      <c r="P61" s="175">
        <f>ROUND(O61/24,2)</f>
        <v>0</v>
      </c>
      <c r="Q61" s="175">
        <f>P61*1.8</f>
        <v>0</v>
      </c>
      <c r="R61" s="176">
        <v>0</v>
      </c>
    </row>
    <row r="62" spans="1:18" x14ac:dyDescent="0.5">
      <c r="A62" s="61"/>
      <c r="B62" s="33" t="s">
        <v>43</v>
      </c>
      <c r="C62" s="195"/>
      <c r="D62" s="134">
        <f>ROUND(C62/12,2)</f>
        <v>0</v>
      </c>
      <c r="E62" s="134">
        <f>D62*1.8</f>
        <v>0</v>
      </c>
      <c r="F62" s="135"/>
      <c r="G62" s="95"/>
      <c r="H62" s="134">
        <f>ROUND(G62/12,2)</f>
        <v>0</v>
      </c>
      <c r="I62" s="134">
        <f>H62*1.8</f>
        <v>0</v>
      </c>
      <c r="J62" s="135"/>
      <c r="K62" s="95"/>
      <c r="L62" s="134">
        <f>ROUND(K62/12,2)</f>
        <v>0</v>
      </c>
      <c r="M62" s="134">
        <f>L62*1.8</f>
        <v>0</v>
      </c>
      <c r="N62" s="135"/>
      <c r="O62" s="119">
        <f t="shared" si="1"/>
        <v>0</v>
      </c>
      <c r="P62" s="175">
        <f>ROUND(O62/24,2)</f>
        <v>0</v>
      </c>
      <c r="Q62" s="175">
        <f>P62*1.8</f>
        <v>0</v>
      </c>
      <c r="R62" s="176">
        <v>0</v>
      </c>
    </row>
    <row r="63" spans="1:18" x14ac:dyDescent="0.5">
      <c r="A63" s="55" t="s">
        <v>46</v>
      </c>
      <c r="B63" s="33" t="s">
        <v>3</v>
      </c>
      <c r="C63" s="199">
        <f>7493</f>
        <v>7493</v>
      </c>
      <c r="D63" s="134">
        <f>ROUND(C63/18,2)</f>
        <v>416.28</v>
      </c>
      <c r="E63" s="134"/>
      <c r="F63" s="135">
        <f>SUM(D63,E64:E65)</f>
        <v>454.08</v>
      </c>
      <c r="G63" s="95">
        <f>6062</f>
        <v>6062</v>
      </c>
      <c r="H63" s="134">
        <f>ROUND(G63/18,2)</f>
        <v>336.78</v>
      </c>
      <c r="I63" s="134"/>
      <c r="J63" s="135">
        <f>SUM(H63,I64:I65)</f>
        <v>367.38</v>
      </c>
      <c r="K63" s="106">
        <f>2525</f>
        <v>2525</v>
      </c>
      <c r="L63" s="134">
        <f>ROUND(K63/18,2)</f>
        <v>140.28</v>
      </c>
      <c r="M63" s="134"/>
      <c r="N63" s="135">
        <f>SUM(L63,M64:M65)</f>
        <v>141.774</v>
      </c>
      <c r="O63" s="115">
        <f t="shared" si="1"/>
        <v>16080</v>
      </c>
      <c r="P63" s="174">
        <f>ROUND(O63/36,2)</f>
        <v>446.67</v>
      </c>
      <c r="Q63" s="175" t="s">
        <v>44</v>
      </c>
      <c r="R63" s="176">
        <f>SUM(P63,Q64:Q65)</f>
        <v>481.62600000000003</v>
      </c>
    </row>
    <row r="64" spans="1:18" x14ac:dyDescent="0.5">
      <c r="A64" s="61"/>
      <c r="B64" s="33" t="s">
        <v>42</v>
      </c>
      <c r="C64" s="199">
        <f>252</f>
        <v>252</v>
      </c>
      <c r="D64" s="134">
        <f>ROUND(C64/12,2)</f>
        <v>21</v>
      </c>
      <c r="E64" s="134">
        <f>D64*1.8</f>
        <v>37.800000000000004</v>
      </c>
      <c r="F64" s="135"/>
      <c r="G64" s="95">
        <f>204</f>
        <v>204</v>
      </c>
      <c r="H64" s="134">
        <f>ROUND(G64/12,2)</f>
        <v>17</v>
      </c>
      <c r="I64" s="134">
        <f>H64*1.8</f>
        <v>30.6</v>
      </c>
      <c r="J64" s="135"/>
      <c r="K64" s="106">
        <f>10</f>
        <v>10</v>
      </c>
      <c r="L64" s="134">
        <f>ROUND(K64/12,2)</f>
        <v>0.83</v>
      </c>
      <c r="M64" s="134">
        <f>L64*1.8</f>
        <v>1.494</v>
      </c>
      <c r="N64" s="135"/>
      <c r="O64" s="115">
        <f t="shared" si="1"/>
        <v>466</v>
      </c>
      <c r="P64" s="175">
        <f>ROUND(O64/24,2)</f>
        <v>19.420000000000002</v>
      </c>
      <c r="Q64" s="175">
        <f>P64*1.8</f>
        <v>34.956000000000003</v>
      </c>
      <c r="R64" s="176">
        <v>0</v>
      </c>
    </row>
    <row r="65" spans="1:18" x14ac:dyDescent="0.5">
      <c r="A65" s="61"/>
      <c r="B65" s="33" t="s">
        <v>43</v>
      </c>
      <c r="C65" s="195"/>
      <c r="D65" s="134">
        <f>ROUND(C65/12,2)</f>
        <v>0</v>
      </c>
      <c r="E65" s="134">
        <f>D65*1.8</f>
        <v>0</v>
      </c>
      <c r="F65" s="135"/>
      <c r="G65" s="95"/>
      <c r="H65" s="134">
        <f>ROUND(G65/12,2)</f>
        <v>0</v>
      </c>
      <c r="I65" s="134">
        <f>H65*1.8</f>
        <v>0</v>
      </c>
      <c r="J65" s="135"/>
      <c r="K65" s="95"/>
      <c r="L65" s="134">
        <f>ROUND(K65/12,2)</f>
        <v>0</v>
      </c>
      <c r="M65" s="134">
        <f>L65*1.8</f>
        <v>0</v>
      </c>
      <c r="N65" s="135"/>
      <c r="O65" s="119">
        <f t="shared" si="1"/>
        <v>0</v>
      </c>
      <c r="P65" s="175">
        <f>ROUND(O65/24,2)</f>
        <v>0</v>
      </c>
      <c r="Q65" s="175">
        <f>P65*1.8</f>
        <v>0</v>
      </c>
      <c r="R65" s="176">
        <v>0</v>
      </c>
    </row>
    <row r="66" spans="1:18" x14ac:dyDescent="0.5">
      <c r="A66" s="55" t="s">
        <v>47</v>
      </c>
      <c r="B66" s="33" t="s">
        <v>3</v>
      </c>
      <c r="C66" s="199">
        <f>3889</f>
        <v>3889</v>
      </c>
      <c r="D66" s="134">
        <f>ROUND(C66/18,2)</f>
        <v>216.06</v>
      </c>
      <c r="E66" s="134"/>
      <c r="F66" s="135">
        <f>SUM(D66,E67:E68)</f>
        <v>216.06</v>
      </c>
      <c r="G66" s="95">
        <f>3498</f>
        <v>3498</v>
      </c>
      <c r="H66" s="134">
        <f>ROUND(G66/18,2)</f>
        <v>194.33</v>
      </c>
      <c r="I66" s="134"/>
      <c r="J66" s="135">
        <f>SUM(H66,I67:I68)</f>
        <v>194.33</v>
      </c>
      <c r="K66" s="106">
        <f>1784</f>
        <v>1784</v>
      </c>
      <c r="L66" s="134">
        <f>ROUND(K66/18,2)</f>
        <v>99.11</v>
      </c>
      <c r="M66" s="134"/>
      <c r="N66" s="135">
        <f>SUM(L66,M67:M68)</f>
        <v>99.11</v>
      </c>
      <c r="O66" s="115">
        <f t="shared" si="1"/>
        <v>9171</v>
      </c>
      <c r="P66" s="174">
        <f>ROUND(O66/36,2)</f>
        <v>254.75</v>
      </c>
      <c r="Q66" s="175" t="s">
        <v>44</v>
      </c>
      <c r="R66" s="176">
        <f>SUM(P66,Q67:Q68)</f>
        <v>254.75</v>
      </c>
    </row>
    <row r="67" spans="1:18" x14ac:dyDescent="0.5">
      <c r="A67" s="61"/>
      <c r="B67" s="33" t="s">
        <v>42</v>
      </c>
      <c r="C67" s="199"/>
      <c r="D67" s="134">
        <f>ROUND(C67/12,2)</f>
        <v>0</v>
      </c>
      <c r="E67" s="134">
        <f>D67*1.8</f>
        <v>0</v>
      </c>
      <c r="F67" s="135"/>
      <c r="G67" s="95"/>
      <c r="H67" s="134">
        <f>ROUND(G67/12,2)</f>
        <v>0</v>
      </c>
      <c r="I67" s="134">
        <f>H67*1.8</f>
        <v>0</v>
      </c>
      <c r="J67" s="135"/>
      <c r="K67" s="106"/>
      <c r="L67" s="134">
        <f>ROUND(K67/12,2)</f>
        <v>0</v>
      </c>
      <c r="M67" s="134">
        <f>L67*1.8</f>
        <v>0</v>
      </c>
      <c r="N67" s="135"/>
      <c r="O67" s="115">
        <f t="shared" si="1"/>
        <v>0</v>
      </c>
      <c r="P67" s="175">
        <f>ROUND(O67/24,2)</f>
        <v>0</v>
      </c>
      <c r="Q67" s="175">
        <f>P67*1.8</f>
        <v>0</v>
      </c>
      <c r="R67" s="176">
        <v>0</v>
      </c>
    </row>
    <row r="68" spans="1:18" x14ac:dyDescent="0.5">
      <c r="A68" s="61"/>
      <c r="B68" s="33" t="s">
        <v>43</v>
      </c>
      <c r="C68" s="199"/>
      <c r="D68" s="134">
        <f>ROUND(C68/12,2)</f>
        <v>0</v>
      </c>
      <c r="E68" s="134">
        <f>D68*1.8</f>
        <v>0</v>
      </c>
      <c r="F68" s="135"/>
      <c r="G68" s="95"/>
      <c r="H68" s="134">
        <f>ROUND(G68/12,2)</f>
        <v>0</v>
      </c>
      <c r="I68" s="134">
        <f>H68*1.8</f>
        <v>0</v>
      </c>
      <c r="J68" s="135"/>
      <c r="K68" s="106"/>
      <c r="L68" s="134">
        <f>ROUND(K68/12,2)</f>
        <v>0</v>
      </c>
      <c r="M68" s="134">
        <f>L68*1.8</f>
        <v>0</v>
      </c>
      <c r="N68" s="135"/>
      <c r="O68" s="119">
        <f t="shared" si="1"/>
        <v>0</v>
      </c>
      <c r="P68" s="175">
        <f>ROUND(O68/24,2)</f>
        <v>0</v>
      </c>
      <c r="Q68" s="175">
        <f>P68*1.8</f>
        <v>0</v>
      </c>
      <c r="R68" s="176">
        <v>0</v>
      </c>
    </row>
    <row r="69" spans="1:18" x14ac:dyDescent="0.5">
      <c r="A69" s="55" t="s">
        <v>48</v>
      </c>
      <c r="B69" s="33" t="s">
        <v>3</v>
      </c>
      <c r="C69" s="199">
        <f>8157</f>
        <v>8157</v>
      </c>
      <c r="D69" s="134">
        <f>ROUND(C69/18,2)</f>
        <v>453.17</v>
      </c>
      <c r="E69" s="134"/>
      <c r="F69" s="135">
        <f>SUM(D69,E70:E71)</f>
        <v>502.22</v>
      </c>
      <c r="G69" s="95">
        <f>4794</f>
        <v>4794</v>
      </c>
      <c r="H69" s="134">
        <f>ROUND(G69/18,2)</f>
        <v>266.33</v>
      </c>
      <c r="I69" s="134"/>
      <c r="J69" s="135">
        <f>SUM(H69,I70:I71)</f>
        <v>305.47999999999996</v>
      </c>
      <c r="K69" s="106">
        <f>1182</f>
        <v>1182</v>
      </c>
      <c r="L69" s="134">
        <f>ROUND(K69/18,2)</f>
        <v>65.67</v>
      </c>
      <c r="M69" s="134"/>
      <c r="N69" s="135">
        <f>SUM(L69,M70:M71)</f>
        <v>65.67</v>
      </c>
      <c r="O69" s="115">
        <f t="shared" si="1"/>
        <v>14133</v>
      </c>
      <c r="P69" s="174">
        <f>ROUND(O69/36,2)</f>
        <v>392.58</v>
      </c>
      <c r="Q69" s="175" t="s">
        <v>44</v>
      </c>
      <c r="R69" s="176">
        <f>SUM(P69,Q70:Q71)</f>
        <v>436.68</v>
      </c>
    </row>
    <row r="70" spans="1:18" x14ac:dyDescent="0.5">
      <c r="A70" s="61"/>
      <c r="B70" s="33" t="s">
        <v>42</v>
      </c>
      <c r="C70" s="199">
        <f>327</f>
        <v>327</v>
      </c>
      <c r="D70" s="134">
        <f>ROUND(C70/12,2)</f>
        <v>27.25</v>
      </c>
      <c r="E70" s="134">
        <f>D70*1.8</f>
        <v>49.050000000000004</v>
      </c>
      <c r="F70" s="135"/>
      <c r="G70" s="95">
        <f>261</f>
        <v>261</v>
      </c>
      <c r="H70" s="134">
        <f>ROUND(G70/12,2)</f>
        <v>21.75</v>
      </c>
      <c r="I70" s="134">
        <f>H70*1.8</f>
        <v>39.15</v>
      </c>
      <c r="J70" s="135"/>
      <c r="K70" s="106"/>
      <c r="L70" s="134">
        <f>ROUND(K70/12,2)</f>
        <v>0</v>
      </c>
      <c r="M70" s="134">
        <f>L70*1.8</f>
        <v>0</v>
      </c>
      <c r="N70" s="135"/>
      <c r="O70" s="115">
        <f t="shared" si="1"/>
        <v>588</v>
      </c>
      <c r="P70" s="175">
        <f>ROUND(O70/24,2)</f>
        <v>24.5</v>
      </c>
      <c r="Q70" s="175">
        <f>P70*1.8</f>
        <v>44.1</v>
      </c>
      <c r="R70" s="176">
        <v>0</v>
      </c>
    </row>
    <row r="71" spans="1:18" x14ac:dyDescent="0.5">
      <c r="A71" s="61"/>
      <c r="B71" s="33" t="s">
        <v>43</v>
      </c>
      <c r="C71" s="199"/>
      <c r="D71" s="134">
        <f>ROUND(C71/12,2)</f>
        <v>0</v>
      </c>
      <c r="E71" s="134">
        <f>D71*1.8</f>
        <v>0</v>
      </c>
      <c r="F71" s="135"/>
      <c r="G71" s="95"/>
      <c r="H71" s="134">
        <f>ROUND(G71/12,2)</f>
        <v>0</v>
      </c>
      <c r="I71" s="134">
        <f>H71*1.8</f>
        <v>0</v>
      </c>
      <c r="J71" s="135"/>
      <c r="K71" s="106"/>
      <c r="L71" s="134">
        <f>ROUND(K71/12,2)</f>
        <v>0</v>
      </c>
      <c r="M71" s="134">
        <f>L71*1.8</f>
        <v>0</v>
      </c>
      <c r="N71" s="135"/>
      <c r="O71" s="119">
        <f t="shared" si="1"/>
        <v>0</v>
      </c>
      <c r="P71" s="175">
        <f>ROUND(O71/24,2)</f>
        <v>0</v>
      </c>
      <c r="Q71" s="175">
        <f>P71*1.8</f>
        <v>0</v>
      </c>
      <c r="R71" s="176">
        <v>0</v>
      </c>
    </row>
    <row r="72" spans="1:18" x14ac:dyDescent="0.5">
      <c r="A72" s="55" t="s">
        <v>49</v>
      </c>
      <c r="B72" s="33" t="s">
        <v>3</v>
      </c>
      <c r="C72" s="199">
        <f>357</f>
        <v>357</v>
      </c>
      <c r="D72" s="134">
        <f>ROUND(C72/18,2)</f>
        <v>19.829999999999998</v>
      </c>
      <c r="E72" s="134"/>
      <c r="F72" s="135">
        <f>SUM(D72,E73:E74)</f>
        <v>19.829999999999998</v>
      </c>
      <c r="G72" s="95">
        <f>27</f>
        <v>27</v>
      </c>
      <c r="H72" s="134">
        <f>ROUND(G72/18,2)</f>
        <v>1.5</v>
      </c>
      <c r="I72" s="134"/>
      <c r="J72" s="135">
        <f>SUM(H72,I73:I74)</f>
        <v>1.5</v>
      </c>
      <c r="K72" s="106"/>
      <c r="L72" s="134">
        <f>ROUND(K72/18,2)</f>
        <v>0</v>
      </c>
      <c r="M72" s="134"/>
      <c r="N72" s="135">
        <f>SUM(L72,M73:M74)</f>
        <v>0</v>
      </c>
      <c r="O72" s="115">
        <f t="shared" si="1"/>
        <v>384</v>
      </c>
      <c r="P72" s="174">
        <f>ROUND(O72/36,2)</f>
        <v>10.67</v>
      </c>
      <c r="Q72" s="175" t="s">
        <v>44</v>
      </c>
      <c r="R72" s="176">
        <f>SUM(P72,Q73:Q74)</f>
        <v>10.67</v>
      </c>
    </row>
    <row r="73" spans="1:18" x14ac:dyDescent="0.5">
      <c r="A73" s="61"/>
      <c r="B73" s="33" t="s">
        <v>42</v>
      </c>
      <c r="C73" s="195"/>
      <c r="D73" s="134">
        <f>ROUND(C73/12,2)</f>
        <v>0</v>
      </c>
      <c r="E73" s="134">
        <f>D73*1.8</f>
        <v>0</v>
      </c>
      <c r="F73" s="135"/>
      <c r="G73" s="95"/>
      <c r="H73" s="134">
        <f>ROUND(G73/12,2)</f>
        <v>0</v>
      </c>
      <c r="I73" s="134">
        <f>H73*1.8</f>
        <v>0</v>
      </c>
      <c r="J73" s="135"/>
      <c r="K73" s="95"/>
      <c r="L73" s="134">
        <f>ROUND(K73/12,2)</f>
        <v>0</v>
      </c>
      <c r="M73" s="134">
        <f>L73*1.8</f>
        <v>0</v>
      </c>
      <c r="N73" s="135"/>
      <c r="O73" s="115">
        <f t="shared" si="1"/>
        <v>0</v>
      </c>
      <c r="P73" s="175">
        <f>ROUND(O73/24,2)</f>
        <v>0</v>
      </c>
      <c r="Q73" s="175">
        <f>P73*1.8</f>
        <v>0</v>
      </c>
      <c r="R73" s="176">
        <v>0</v>
      </c>
    </row>
    <row r="74" spans="1:18" x14ac:dyDescent="0.5">
      <c r="A74" s="61"/>
      <c r="B74" s="33" t="s">
        <v>43</v>
      </c>
      <c r="C74" s="195"/>
      <c r="D74" s="134">
        <f>ROUND(C74/12,2)</f>
        <v>0</v>
      </c>
      <c r="E74" s="134">
        <f>D74*1.8</f>
        <v>0</v>
      </c>
      <c r="F74" s="135"/>
      <c r="G74" s="95"/>
      <c r="H74" s="134">
        <f>ROUND(G74/12,2)</f>
        <v>0</v>
      </c>
      <c r="I74" s="134">
        <f>H74*1.8</f>
        <v>0</v>
      </c>
      <c r="J74" s="135"/>
      <c r="K74" s="95"/>
      <c r="L74" s="134">
        <f>ROUND(K74/12,2)</f>
        <v>0</v>
      </c>
      <c r="M74" s="134">
        <f>L74*1.8</f>
        <v>0</v>
      </c>
      <c r="N74" s="135"/>
      <c r="O74" s="119">
        <f t="shared" si="1"/>
        <v>0</v>
      </c>
      <c r="P74" s="175">
        <f>ROUND(O74/24,2)</f>
        <v>0</v>
      </c>
      <c r="Q74" s="175">
        <f>P74*1.8</f>
        <v>0</v>
      </c>
      <c r="R74" s="176">
        <v>0</v>
      </c>
    </row>
    <row r="75" spans="1:18" x14ac:dyDescent="0.5">
      <c r="A75" s="55" t="s">
        <v>50</v>
      </c>
      <c r="B75" s="33" t="s">
        <v>3</v>
      </c>
      <c r="C75" s="199">
        <f>4983</f>
        <v>4983</v>
      </c>
      <c r="D75" s="134">
        <f>ROUND(C75/18,2)</f>
        <v>276.83</v>
      </c>
      <c r="E75" s="134"/>
      <c r="F75" s="135">
        <f>SUM(D75,E76:E77)</f>
        <v>278.63</v>
      </c>
      <c r="G75" s="95">
        <f>3005</f>
        <v>3005</v>
      </c>
      <c r="H75" s="134">
        <f>ROUND(G75/18,2)</f>
        <v>166.94</v>
      </c>
      <c r="I75" s="134"/>
      <c r="J75" s="135">
        <f>SUM(H75,I76:I77)</f>
        <v>170.54</v>
      </c>
      <c r="K75" s="106">
        <f>1149</f>
        <v>1149</v>
      </c>
      <c r="L75" s="134">
        <f>ROUND(K75/18,2)</f>
        <v>63.83</v>
      </c>
      <c r="M75" s="134"/>
      <c r="N75" s="135">
        <f>SUM(L75,M76:M77)</f>
        <v>63.83</v>
      </c>
      <c r="O75" s="115">
        <f t="shared" si="1"/>
        <v>9137</v>
      </c>
      <c r="P75" s="174">
        <f>ROUND(O75/36,2)</f>
        <v>253.81</v>
      </c>
      <c r="Q75" s="175" t="s">
        <v>44</v>
      </c>
      <c r="R75" s="176">
        <f>SUM(P75,Q76:Q77)</f>
        <v>256.51</v>
      </c>
    </row>
    <row r="76" spans="1:18" x14ac:dyDescent="0.5">
      <c r="A76" s="61"/>
      <c r="B76" s="33" t="s">
        <v>42</v>
      </c>
      <c r="C76" s="199">
        <f>12</f>
        <v>12</v>
      </c>
      <c r="D76" s="134">
        <f>ROUND(C76/12,2)</f>
        <v>1</v>
      </c>
      <c r="E76" s="134">
        <f>D76*1.8</f>
        <v>1.8</v>
      </c>
      <c r="F76" s="135"/>
      <c r="G76" s="95">
        <f>24</f>
        <v>24</v>
      </c>
      <c r="H76" s="134">
        <f>ROUND(G76/12,2)</f>
        <v>2</v>
      </c>
      <c r="I76" s="134">
        <f>H76*1.8</f>
        <v>3.6</v>
      </c>
      <c r="J76" s="135"/>
      <c r="K76" s="106"/>
      <c r="L76" s="134">
        <f>ROUND(K76/12,2)</f>
        <v>0</v>
      </c>
      <c r="M76" s="134">
        <f>L76*1.8</f>
        <v>0</v>
      </c>
      <c r="N76" s="135"/>
      <c r="O76" s="115">
        <f t="shared" si="1"/>
        <v>36</v>
      </c>
      <c r="P76" s="175">
        <f>ROUND(O76/24,2)</f>
        <v>1.5</v>
      </c>
      <c r="Q76" s="175">
        <f>P76*1.8</f>
        <v>2.7</v>
      </c>
      <c r="R76" s="176">
        <v>0</v>
      </c>
    </row>
    <row r="77" spans="1:18" x14ac:dyDescent="0.5">
      <c r="A77" s="61"/>
      <c r="B77" s="33" t="s">
        <v>43</v>
      </c>
      <c r="C77" s="195"/>
      <c r="D77" s="134">
        <f>ROUND(C77/12,2)</f>
        <v>0</v>
      </c>
      <c r="E77" s="134">
        <f>D77*1.8</f>
        <v>0</v>
      </c>
      <c r="F77" s="135"/>
      <c r="G77" s="95"/>
      <c r="H77" s="134">
        <f>ROUND(G77/12,2)</f>
        <v>0</v>
      </c>
      <c r="I77" s="134">
        <f>H77*1.8</f>
        <v>0</v>
      </c>
      <c r="J77" s="135"/>
      <c r="K77" s="95"/>
      <c r="L77" s="134">
        <f>ROUND(K77/12,2)</f>
        <v>0</v>
      </c>
      <c r="M77" s="134">
        <f>L77*1.8</f>
        <v>0</v>
      </c>
      <c r="N77" s="135"/>
      <c r="O77" s="119">
        <f t="shared" si="1"/>
        <v>0</v>
      </c>
      <c r="P77" s="175">
        <f>ROUND(O77/24,2)</f>
        <v>0</v>
      </c>
      <c r="Q77" s="175">
        <f>P77*1.8</f>
        <v>0</v>
      </c>
      <c r="R77" s="176">
        <v>0</v>
      </c>
    </row>
    <row r="78" spans="1:18" x14ac:dyDescent="0.5">
      <c r="A78" s="55" t="s">
        <v>51</v>
      </c>
      <c r="B78" s="33" t="s">
        <v>3</v>
      </c>
      <c r="C78" s="199"/>
      <c r="D78" s="134">
        <f>ROUND(C78/18,2)</f>
        <v>0</v>
      </c>
      <c r="E78" s="134"/>
      <c r="F78" s="135">
        <f>SUM(D78,E79:E80)</f>
        <v>0</v>
      </c>
      <c r="G78" s="95"/>
      <c r="H78" s="134">
        <f>ROUND(G78/18,2)</f>
        <v>0</v>
      </c>
      <c r="I78" s="134"/>
      <c r="J78" s="135">
        <f>SUM(H78,I79:I80)</f>
        <v>0</v>
      </c>
      <c r="K78" s="106"/>
      <c r="L78" s="134">
        <f>ROUND(K78/18,2)</f>
        <v>0</v>
      </c>
      <c r="M78" s="134"/>
      <c r="N78" s="135"/>
      <c r="O78" s="115">
        <f t="shared" si="1"/>
        <v>0</v>
      </c>
      <c r="P78" s="174">
        <f>ROUND(O78/36,2)</f>
        <v>0</v>
      </c>
      <c r="Q78" s="175" t="s">
        <v>44</v>
      </c>
      <c r="R78" s="176">
        <f>SUM(P78,Q79:Q80)</f>
        <v>0</v>
      </c>
    </row>
    <row r="79" spans="1:18" x14ac:dyDescent="0.5">
      <c r="A79" s="56"/>
      <c r="B79" s="33" t="s">
        <v>42</v>
      </c>
      <c r="C79" s="199"/>
      <c r="D79" s="134">
        <f>ROUND(C79/12,2)</f>
        <v>0</v>
      </c>
      <c r="E79" s="134">
        <f>D79*1.8</f>
        <v>0</v>
      </c>
      <c r="F79" s="135"/>
      <c r="G79" s="95"/>
      <c r="H79" s="134">
        <f>ROUND(G79/12,2)</f>
        <v>0</v>
      </c>
      <c r="I79" s="134">
        <f>H79*1.8</f>
        <v>0</v>
      </c>
      <c r="J79" s="135"/>
      <c r="K79" s="106"/>
      <c r="L79" s="134">
        <f>ROUND(K79/12,2)</f>
        <v>0</v>
      </c>
      <c r="M79" s="134">
        <f>L79*1.8</f>
        <v>0</v>
      </c>
      <c r="N79" s="135"/>
      <c r="O79" s="115">
        <f t="shared" si="1"/>
        <v>0</v>
      </c>
      <c r="P79" s="175">
        <f>ROUND(O79/24,2)</f>
        <v>0</v>
      </c>
      <c r="Q79" s="175">
        <f>P79*1.8</f>
        <v>0</v>
      </c>
      <c r="R79" s="176">
        <v>0</v>
      </c>
    </row>
    <row r="80" spans="1:18" x14ac:dyDescent="0.5">
      <c r="A80" s="56"/>
      <c r="B80" s="33" t="s">
        <v>43</v>
      </c>
      <c r="C80" s="199"/>
      <c r="D80" s="134">
        <f>ROUND(C80/12,2)</f>
        <v>0</v>
      </c>
      <c r="E80" s="134">
        <f>D80*1.8</f>
        <v>0</v>
      </c>
      <c r="F80" s="135"/>
      <c r="G80" s="95"/>
      <c r="H80" s="134">
        <f>ROUND(G80/12,2)</f>
        <v>0</v>
      </c>
      <c r="I80" s="134">
        <f>H80*1.8</f>
        <v>0</v>
      </c>
      <c r="J80" s="135"/>
      <c r="K80" s="106"/>
      <c r="L80" s="134">
        <f>ROUND(K80/12,2)</f>
        <v>0</v>
      </c>
      <c r="M80" s="134">
        <f>L80*1.8</f>
        <v>0</v>
      </c>
      <c r="N80" s="135"/>
      <c r="O80" s="119">
        <f t="shared" si="1"/>
        <v>0</v>
      </c>
      <c r="P80" s="175">
        <f>ROUND(O80/24,2)</f>
        <v>0</v>
      </c>
      <c r="Q80" s="175">
        <f>P80*1.8</f>
        <v>0</v>
      </c>
      <c r="R80" s="176">
        <v>0</v>
      </c>
    </row>
    <row r="81" spans="1:18" x14ac:dyDescent="0.5">
      <c r="A81" s="55" t="s">
        <v>52</v>
      </c>
      <c r="B81" s="33" t="s">
        <v>3</v>
      </c>
      <c r="C81" s="199">
        <f>4628</f>
        <v>4628</v>
      </c>
      <c r="D81" s="134">
        <f>ROUND(C81/18,2)</f>
        <v>257.11</v>
      </c>
      <c r="E81" s="134"/>
      <c r="F81" s="135">
        <f>SUM(D81,E82:E83)</f>
        <v>265.66000000000003</v>
      </c>
      <c r="G81" s="95">
        <f>4681</f>
        <v>4681</v>
      </c>
      <c r="H81" s="134">
        <f>ROUND(G81/18,2)</f>
        <v>260.06</v>
      </c>
      <c r="I81" s="134"/>
      <c r="J81" s="135">
        <f>SUM(H81,I82:I83)</f>
        <v>269.06</v>
      </c>
      <c r="K81" s="106">
        <f>1844</f>
        <v>1844</v>
      </c>
      <c r="L81" s="134">
        <f>ROUND(K81/18,2)</f>
        <v>102.44</v>
      </c>
      <c r="M81" s="134"/>
      <c r="N81" s="135">
        <f>SUM(L81,M82:M83)</f>
        <v>102.44</v>
      </c>
      <c r="O81" s="115">
        <f t="shared" si="1"/>
        <v>11153</v>
      </c>
      <c r="P81" s="174">
        <f>ROUND(O81/36,2)</f>
        <v>309.81</v>
      </c>
      <c r="Q81" s="175" t="s">
        <v>44</v>
      </c>
      <c r="R81" s="176">
        <f>SUM(P81,Q82:Q83)</f>
        <v>318.59399999999999</v>
      </c>
    </row>
    <row r="82" spans="1:18" x14ac:dyDescent="0.5">
      <c r="A82" s="61"/>
      <c r="B82" s="33" t="s">
        <v>42</v>
      </c>
      <c r="C82" s="195">
        <f>57</f>
        <v>57</v>
      </c>
      <c r="D82" s="134">
        <f>ROUND(C82/12,2)</f>
        <v>4.75</v>
      </c>
      <c r="E82" s="134">
        <f>D82*1.8</f>
        <v>8.5500000000000007</v>
      </c>
      <c r="F82" s="135"/>
      <c r="G82" s="95">
        <f>60</f>
        <v>60</v>
      </c>
      <c r="H82" s="134">
        <f>ROUND(G82/12,2)</f>
        <v>5</v>
      </c>
      <c r="I82" s="134">
        <f>H82*1.8</f>
        <v>9</v>
      </c>
      <c r="J82" s="135"/>
      <c r="K82" s="95"/>
      <c r="L82" s="134">
        <f>ROUND(K82/12,2)</f>
        <v>0</v>
      </c>
      <c r="M82" s="134">
        <f>L82*1.8</f>
        <v>0</v>
      </c>
      <c r="N82" s="135"/>
      <c r="O82" s="115">
        <f t="shared" si="1"/>
        <v>117</v>
      </c>
      <c r="P82" s="175">
        <f>ROUND(O82/24,2)</f>
        <v>4.88</v>
      </c>
      <c r="Q82" s="175">
        <f>P82*1.8</f>
        <v>8.7840000000000007</v>
      </c>
      <c r="R82" s="176">
        <v>0</v>
      </c>
    </row>
    <row r="83" spans="1:18" x14ac:dyDescent="0.5">
      <c r="A83" s="61"/>
      <c r="B83" s="33" t="s">
        <v>43</v>
      </c>
      <c r="C83" s="195"/>
      <c r="D83" s="134">
        <f>ROUND(C83/12,2)</f>
        <v>0</v>
      </c>
      <c r="E83" s="134">
        <f>D83*1.8</f>
        <v>0</v>
      </c>
      <c r="F83" s="135"/>
      <c r="G83" s="95"/>
      <c r="H83" s="134">
        <f>ROUND(G83/12,2)</f>
        <v>0</v>
      </c>
      <c r="I83" s="134">
        <f>H83*1.8</f>
        <v>0</v>
      </c>
      <c r="J83" s="135"/>
      <c r="K83" s="95"/>
      <c r="L83" s="134">
        <f>ROUND(K83/12,2)</f>
        <v>0</v>
      </c>
      <c r="M83" s="134">
        <f>L83*1.8</f>
        <v>0</v>
      </c>
      <c r="N83" s="135"/>
      <c r="O83" s="119">
        <f t="shared" si="1"/>
        <v>0</v>
      </c>
      <c r="P83" s="175">
        <f>ROUND(O83/24,2)</f>
        <v>0</v>
      </c>
      <c r="Q83" s="175">
        <f>P83*1.8</f>
        <v>0</v>
      </c>
      <c r="R83" s="176">
        <v>0</v>
      </c>
    </row>
    <row r="84" spans="1:18" x14ac:dyDescent="0.5">
      <c r="A84" s="55" t="s">
        <v>53</v>
      </c>
      <c r="B84" s="33" t="s">
        <v>3</v>
      </c>
      <c r="C84" s="199">
        <f>3327</f>
        <v>3327</v>
      </c>
      <c r="D84" s="134">
        <f>ROUND(C84/18,2)</f>
        <v>184.83</v>
      </c>
      <c r="E84" s="134"/>
      <c r="F84" s="135">
        <f>SUM(D84,E85:E86)</f>
        <v>184.83</v>
      </c>
      <c r="G84" s="95">
        <f>3969</f>
        <v>3969</v>
      </c>
      <c r="H84" s="134">
        <f>ROUND(G84/18,2)</f>
        <v>220.5</v>
      </c>
      <c r="I84" s="134"/>
      <c r="J84" s="135">
        <f>SUM(H84,I85:I86)</f>
        <v>220.5</v>
      </c>
      <c r="K84" s="106">
        <v>975</v>
      </c>
      <c r="L84" s="134">
        <f>ROUND(K84/18,2)</f>
        <v>54.17</v>
      </c>
      <c r="M84" s="134"/>
      <c r="N84" s="135">
        <f>SUM(L84,M85:M86)</f>
        <v>54.17</v>
      </c>
      <c r="O84" s="115">
        <f t="shared" si="1"/>
        <v>8271</v>
      </c>
      <c r="P84" s="174">
        <f>ROUND(O84/36,2)</f>
        <v>229.75</v>
      </c>
      <c r="Q84" s="175" t="s">
        <v>44</v>
      </c>
      <c r="R84" s="176">
        <f>SUM(P84,Q85:Q86)</f>
        <v>229.75</v>
      </c>
    </row>
    <row r="85" spans="1:18" x14ac:dyDescent="0.5">
      <c r="A85" s="61"/>
      <c r="B85" s="33" t="s">
        <v>42</v>
      </c>
      <c r="C85" s="195"/>
      <c r="D85" s="134">
        <f>ROUND(C85/12,2)</f>
        <v>0</v>
      </c>
      <c r="E85" s="134">
        <f>D85*1.8</f>
        <v>0</v>
      </c>
      <c r="F85" s="135"/>
      <c r="G85" s="95"/>
      <c r="H85" s="134">
        <f>ROUND(G85/12,2)</f>
        <v>0</v>
      </c>
      <c r="I85" s="134">
        <f>H85*1.8</f>
        <v>0</v>
      </c>
      <c r="J85" s="135"/>
      <c r="K85" s="95"/>
      <c r="L85" s="134">
        <f>ROUND(K85/12,2)</f>
        <v>0</v>
      </c>
      <c r="M85" s="134">
        <f>L85*1.8</f>
        <v>0</v>
      </c>
      <c r="N85" s="135"/>
      <c r="O85" s="115">
        <f t="shared" si="1"/>
        <v>0</v>
      </c>
      <c r="P85" s="175">
        <f>ROUND(O85/24,2)</f>
        <v>0</v>
      </c>
      <c r="Q85" s="175">
        <f>P85*1.8</f>
        <v>0</v>
      </c>
      <c r="R85" s="176">
        <v>0</v>
      </c>
    </row>
    <row r="86" spans="1:18" x14ac:dyDescent="0.5">
      <c r="A86" s="61"/>
      <c r="B86" s="33" t="s">
        <v>43</v>
      </c>
      <c r="C86" s="195"/>
      <c r="D86" s="134">
        <f>ROUND(C86/12,2)</f>
        <v>0</v>
      </c>
      <c r="E86" s="134">
        <f>D86*1.8</f>
        <v>0</v>
      </c>
      <c r="F86" s="135"/>
      <c r="G86" s="95"/>
      <c r="H86" s="134">
        <f>ROUND(G86/12,2)</f>
        <v>0</v>
      </c>
      <c r="I86" s="134">
        <f>H86*1.8</f>
        <v>0</v>
      </c>
      <c r="J86" s="135"/>
      <c r="K86" s="95"/>
      <c r="L86" s="134">
        <f>ROUND(K86/12,2)</f>
        <v>0</v>
      </c>
      <c r="M86" s="134">
        <f>L86*1.8</f>
        <v>0</v>
      </c>
      <c r="N86" s="135"/>
      <c r="O86" s="119">
        <f t="shared" si="1"/>
        <v>0</v>
      </c>
      <c r="P86" s="175">
        <f>ROUND(O86/24,2)</f>
        <v>0</v>
      </c>
      <c r="Q86" s="175">
        <f>P86*1.8</f>
        <v>0</v>
      </c>
      <c r="R86" s="176">
        <v>0</v>
      </c>
    </row>
    <row r="87" spans="1:18" x14ac:dyDescent="0.5">
      <c r="A87" s="55" t="s">
        <v>54</v>
      </c>
      <c r="B87" s="33" t="s">
        <v>3</v>
      </c>
      <c r="C87" s="199">
        <f>738</f>
        <v>738</v>
      </c>
      <c r="D87" s="134">
        <f>ROUND(C87/18,2)</f>
        <v>41</v>
      </c>
      <c r="E87" s="134"/>
      <c r="F87" s="135">
        <f>SUM(D87,E88:E89)</f>
        <v>41</v>
      </c>
      <c r="G87" s="95">
        <f>156</f>
        <v>156</v>
      </c>
      <c r="H87" s="134">
        <f>ROUND(G87/18,2)</f>
        <v>8.67</v>
      </c>
      <c r="I87" s="134"/>
      <c r="J87" s="135">
        <f>SUM(H87,I88:I89)</f>
        <v>8.67</v>
      </c>
      <c r="K87" s="106"/>
      <c r="L87" s="134">
        <f>ROUND(K87/18,2)</f>
        <v>0</v>
      </c>
      <c r="M87" s="134"/>
      <c r="N87" s="135">
        <f>SUM(L87,M88:M89)</f>
        <v>0</v>
      </c>
      <c r="O87" s="115">
        <f t="shared" si="1"/>
        <v>894</v>
      </c>
      <c r="P87" s="174">
        <f>ROUND(O87/36,2)</f>
        <v>24.83</v>
      </c>
      <c r="Q87" s="175" t="s">
        <v>44</v>
      </c>
      <c r="R87" s="176">
        <f>SUM(P87,Q88:Q89)</f>
        <v>24.83</v>
      </c>
    </row>
    <row r="88" spans="1:18" x14ac:dyDescent="0.5">
      <c r="A88" s="61"/>
      <c r="B88" s="33" t="s">
        <v>42</v>
      </c>
      <c r="C88" s="195"/>
      <c r="D88" s="134">
        <f>ROUND(C88/12,2)</f>
        <v>0</v>
      </c>
      <c r="E88" s="134">
        <f>D88*1.8</f>
        <v>0</v>
      </c>
      <c r="F88" s="135"/>
      <c r="G88" s="95"/>
      <c r="H88" s="134">
        <f>ROUND(G88/12,2)</f>
        <v>0</v>
      </c>
      <c r="I88" s="134">
        <f>H88*1.8</f>
        <v>0</v>
      </c>
      <c r="J88" s="135"/>
      <c r="K88" s="95"/>
      <c r="L88" s="134">
        <f>ROUND(K88/12,2)</f>
        <v>0</v>
      </c>
      <c r="M88" s="134">
        <f>L88*1.8</f>
        <v>0</v>
      </c>
      <c r="N88" s="135"/>
      <c r="O88" s="115">
        <f t="shared" si="1"/>
        <v>0</v>
      </c>
      <c r="P88" s="175">
        <f>ROUND(O88/24,2)</f>
        <v>0</v>
      </c>
      <c r="Q88" s="175">
        <f>P88*1.8</f>
        <v>0</v>
      </c>
      <c r="R88" s="176">
        <v>0</v>
      </c>
    </row>
    <row r="89" spans="1:18" x14ac:dyDescent="0.5">
      <c r="A89" s="61"/>
      <c r="B89" s="33" t="s">
        <v>43</v>
      </c>
      <c r="C89" s="195"/>
      <c r="D89" s="134">
        <f>ROUND(C89/12,2)</f>
        <v>0</v>
      </c>
      <c r="E89" s="134">
        <f>D89*1.8</f>
        <v>0</v>
      </c>
      <c r="F89" s="135"/>
      <c r="G89" s="95"/>
      <c r="H89" s="134">
        <f>ROUND(G89/12,2)</f>
        <v>0</v>
      </c>
      <c r="I89" s="134">
        <f>H89*1.8</f>
        <v>0</v>
      </c>
      <c r="J89" s="135"/>
      <c r="K89" s="95"/>
      <c r="L89" s="134">
        <f>ROUND(K89/12,2)</f>
        <v>0</v>
      </c>
      <c r="M89" s="134">
        <f>L89*1.8</f>
        <v>0</v>
      </c>
      <c r="N89" s="135"/>
      <c r="O89" s="119">
        <f t="shared" si="1"/>
        <v>0</v>
      </c>
      <c r="P89" s="175">
        <f>ROUND(O89/24,2)</f>
        <v>0</v>
      </c>
      <c r="Q89" s="175">
        <f>P89*1.8</f>
        <v>0</v>
      </c>
      <c r="R89" s="176">
        <v>0</v>
      </c>
    </row>
    <row r="90" spans="1:18" x14ac:dyDescent="0.5">
      <c r="A90" s="55" t="s">
        <v>55</v>
      </c>
      <c r="B90" s="33" t="s">
        <v>3</v>
      </c>
      <c r="C90" s="199">
        <f>1401</f>
        <v>1401</v>
      </c>
      <c r="D90" s="134">
        <f>ROUND(C90/18,2)</f>
        <v>77.83</v>
      </c>
      <c r="E90" s="134"/>
      <c r="F90" s="135">
        <f>SUM(D90,E91:E92)</f>
        <v>77.83</v>
      </c>
      <c r="G90" s="95">
        <f>2032</f>
        <v>2032</v>
      </c>
      <c r="H90" s="134">
        <f>ROUND(G90/18,2)</f>
        <v>112.89</v>
      </c>
      <c r="I90" s="134"/>
      <c r="J90" s="135">
        <f>SUM(H90,I91:I92)</f>
        <v>112.89</v>
      </c>
      <c r="K90" s="106">
        <f>933</f>
        <v>933</v>
      </c>
      <c r="L90" s="134">
        <f>ROUND(K90/18,2)</f>
        <v>51.83</v>
      </c>
      <c r="M90" s="134"/>
      <c r="N90" s="135">
        <f>SUM(L90,M91:M92)</f>
        <v>51.83</v>
      </c>
      <c r="O90" s="115">
        <f t="shared" si="1"/>
        <v>4366</v>
      </c>
      <c r="P90" s="174">
        <f>ROUND(O90/36,2)</f>
        <v>121.28</v>
      </c>
      <c r="Q90" s="175" t="s">
        <v>44</v>
      </c>
      <c r="R90" s="176">
        <f>SUM(P90,Q91:Q92)</f>
        <v>121.28</v>
      </c>
    </row>
    <row r="91" spans="1:18" x14ac:dyDescent="0.5">
      <c r="A91" s="61"/>
      <c r="B91" s="33" t="s">
        <v>42</v>
      </c>
      <c r="C91" s="195"/>
      <c r="D91" s="134">
        <f>ROUND(C91/12,2)</f>
        <v>0</v>
      </c>
      <c r="E91" s="134">
        <f>D91*1.8</f>
        <v>0</v>
      </c>
      <c r="F91" s="135"/>
      <c r="G91" s="95"/>
      <c r="H91" s="134">
        <f>ROUND(G91/12,2)</f>
        <v>0</v>
      </c>
      <c r="I91" s="134">
        <f>H91*1.8</f>
        <v>0</v>
      </c>
      <c r="J91" s="135"/>
      <c r="K91" s="95"/>
      <c r="L91" s="134">
        <f>ROUND(K91/12,2)</f>
        <v>0</v>
      </c>
      <c r="M91" s="134">
        <f>L91*1.8</f>
        <v>0</v>
      </c>
      <c r="N91" s="135"/>
      <c r="O91" s="115">
        <f t="shared" si="1"/>
        <v>0</v>
      </c>
      <c r="P91" s="175">
        <f>ROUND(O91/24,2)</f>
        <v>0</v>
      </c>
      <c r="Q91" s="175">
        <f>P91*1.8</f>
        <v>0</v>
      </c>
      <c r="R91" s="176">
        <v>0</v>
      </c>
    </row>
    <row r="92" spans="1:18" x14ac:dyDescent="0.5">
      <c r="A92" s="61"/>
      <c r="B92" s="33" t="s">
        <v>43</v>
      </c>
      <c r="C92" s="195"/>
      <c r="D92" s="134">
        <f>ROUND(C92/12,2)</f>
        <v>0</v>
      </c>
      <c r="E92" s="134">
        <f>D92*1.8</f>
        <v>0</v>
      </c>
      <c r="F92" s="135"/>
      <c r="G92" s="95"/>
      <c r="H92" s="134">
        <f>ROUND(G92/12,2)</f>
        <v>0</v>
      </c>
      <c r="I92" s="134">
        <f>H92*1.8</f>
        <v>0</v>
      </c>
      <c r="J92" s="135"/>
      <c r="K92" s="95"/>
      <c r="L92" s="134">
        <f>ROUND(K92/12,2)</f>
        <v>0</v>
      </c>
      <c r="M92" s="134">
        <f>L92*1.8</f>
        <v>0</v>
      </c>
      <c r="N92" s="135"/>
      <c r="O92" s="119">
        <f t="shared" si="1"/>
        <v>0</v>
      </c>
      <c r="P92" s="175">
        <f>ROUND(O92/24,2)</f>
        <v>0</v>
      </c>
      <c r="Q92" s="175">
        <f>P92*1.8</f>
        <v>0</v>
      </c>
      <c r="R92" s="176">
        <v>0</v>
      </c>
    </row>
    <row r="93" spans="1:18" x14ac:dyDescent="0.5">
      <c r="A93" s="63" t="s">
        <v>56</v>
      </c>
      <c r="B93" s="38" t="s">
        <v>3</v>
      </c>
      <c r="C93" s="200">
        <f>SUM(C60,C63,C66,C69,C72,C75,C78,C81,C84,C87,C90)</f>
        <v>42470</v>
      </c>
      <c r="D93" s="140">
        <f>ROUND(C93/18,2)</f>
        <v>2359.44</v>
      </c>
      <c r="E93" s="140"/>
      <c r="F93" s="141">
        <f>SUM(D93,E94:E95)</f>
        <v>2456.64</v>
      </c>
      <c r="G93" s="78">
        <f>SUM(G60,G63,G66,G69,G72,G75,G78,G81,G84,G87,G90)</f>
        <v>33835</v>
      </c>
      <c r="H93" s="140">
        <f>ROUND(G93/18,2)</f>
        <v>1879.72</v>
      </c>
      <c r="I93" s="140"/>
      <c r="J93" s="141">
        <f>SUM(H93,I94:I95)</f>
        <v>1962.07</v>
      </c>
      <c r="K93" s="78">
        <f>SUM(K60,K63,K66,K69,K72,K75,K78,K81,K84,K87,K90)</f>
        <v>13003</v>
      </c>
      <c r="L93" s="140">
        <f>ROUND(K93/18,2)</f>
        <v>722.39</v>
      </c>
      <c r="M93" s="140"/>
      <c r="N93" s="141">
        <f>SUM(L93,M94:M95)</f>
        <v>723.88400000000001</v>
      </c>
      <c r="O93" s="120">
        <f t="shared" si="1"/>
        <v>89308</v>
      </c>
      <c r="P93" s="184">
        <f>ROUND(O93/36,2)</f>
        <v>2480.7800000000002</v>
      </c>
      <c r="Q93" s="185" t="s">
        <v>44</v>
      </c>
      <c r="R93" s="176">
        <f>SUM(P93,Q94:Q95)</f>
        <v>2571.3020000000001</v>
      </c>
    </row>
    <row r="94" spans="1:18" x14ac:dyDescent="0.5">
      <c r="A94" s="61"/>
      <c r="B94" s="38" t="s">
        <v>42</v>
      </c>
      <c r="C94" s="200">
        <f>SUM(C61,C64,C67,C70,C73,C76,C79,C82,C85,C88,C91)</f>
        <v>648</v>
      </c>
      <c r="D94" s="140">
        <f>ROUND(C94/12,2)</f>
        <v>54</v>
      </c>
      <c r="E94" s="140">
        <f>D94*1.8</f>
        <v>97.2</v>
      </c>
      <c r="F94" s="141"/>
      <c r="G94" s="78">
        <f>SUM(G61,G64,G67,G70,G73,G76,G79,G82,G85,G88,G91)</f>
        <v>549</v>
      </c>
      <c r="H94" s="140">
        <f>ROUND(G94/12,2)</f>
        <v>45.75</v>
      </c>
      <c r="I94" s="140">
        <f>H94*1.8</f>
        <v>82.350000000000009</v>
      </c>
      <c r="J94" s="141"/>
      <c r="K94" s="78">
        <f>SUM(K61,K64,K67,K70,K73,K76,K79,K82,K85,K88,K91)</f>
        <v>10</v>
      </c>
      <c r="L94" s="140">
        <f>ROUND(K94/12,2)</f>
        <v>0.83</v>
      </c>
      <c r="M94" s="140">
        <f>L94*1.8</f>
        <v>1.494</v>
      </c>
      <c r="N94" s="141"/>
      <c r="O94" s="120">
        <f t="shared" si="1"/>
        <v>1207</v>
      </c>
      <c r="P94" s="184">
        <f>ROUND(O94/24,2)</f>
        <v>50.29</v>
      </c>
      <c r="Q94" s="185">
        <f>P94*1.8</f>
        <v>90.522000000000006</v>
      </c>
      <c r="R94" s="176">
        <v>0</v>
      </c>
    </row>
    <row r="95" spans="1:18" ht="22.5" thickBot="1" x14ac:dyDescent="0.55000000000000004">
      <c r="A95" s="62"/>
      <c r="B95" s="39" t="s">
        <v>43</v>
      </c>
      <c r="C95" s="201">
        <f>SUM(C62,C65,C68,C71,C74,C77,C80,C83,C86,C89,C92)</f>
        <v>0</v>
      </c>
      <c r="D95" s="142">
        <f>ROUND(C95/12,2)</f>
        <v>0</v>
      </c>
      <c r="E95" s="142">
        <f>D95*1.8</f>
        <v>0</v>
      </c>
      <c r="F95" s="143"/>
      <c r="G95" s="79">
        <f>SUM(G62,G65,G68,G71,G74,G77,G80,G83,G86,G89,G92)</f>
        <v>0</v>
      </c>
      <c r="H95" s="142">
        <f>ROUND(G95/12,2)</f>
        <v>0</v>
      </c>
      <c r="I95" s="142">
        <f>H95*1.8</f>
        <v>0</v>
      </c>
      <c r="J95" s="143"/>
      <c r="K95" s="79">
        <f>SUM(K62,K65,K68,K71,K74,K77,K80,K83,K86,K89,K92)</f>
        <v>0</v>
      </c>
      <c r="L95" s="142">
        <f>ROUND(K95/12,2)</f>
        <v>0</v>
      </c>
      <c r="M95" s="142">
        <f>L95*1.8</f>
        <v>0</v>
      </c>
      <c r="N95" s="143"/>
      <c r="O95" s="121">
        <f t="shared" si="1"/>
        <v>0</v>
      </c>
      <c r="P95" s="186">
        <f>ROUND(O95/24,2)</f>
        <v>0</v>
      </c>
      <c r="Q95" s="187">
        <f>P95*1.8</f>
        <v>0</v>
      </c>
      <c r="R95" s="179">
        <v>0</v>
      </c>
    </row>
    <row r="96" spans="1:18" x14ac:dyDescent="0.5">
      <c r="A96" s="58" t="s">
        <v>11</v>
      </c>
      <c r="B96" s="36"/>
      <c r="C96" s="197"/>
      <c r="D96" s="138"/>
      <c r="E96" s="138"/>
      <c r="F96" s="139"/>
      <c r="G96" s="97"/>
      <c r="H96" s="138"/>
      <c r="I96" s="168"/>
      <c r="J96" s="139"/>
      <c r="K96" s="108"/>
      <c r="L96" s="138"/>
      <c r="M96" s="138"/>
      <c r="N96" s="139"/>
      <c r="O96" s="118"/>
      <c r="P96" s="183"/>
      <c r="Q96" s="181"/>
      <c r="R96" s="182"/>
    </row>
    <row r="97" spans="1:18" x14ac:dyDescent="0.5">
      <c r="A97" s="55" t="s">
        <v>11</v>
      </c>
      <c r="B97" s="33" t="s">
        <v>3</v>
      </c>
      <c r="C97" s="195">
        <f>30+36</f>
        <v>66</v>
      </c>
      <c r="D97" s="134">
        <f>ROUND(C97/18,2)</f>
        <v>3.67</v>
      </c>
      <c r="E97" s="134"/>
      <c r="F97" s="135">
        <f>SUM(D97,E98:E99)</f>
        <v>50.470000000000006</v>
      </c>
      <c r="G97" s="76">
        <f>3+24</f>
        <v>27</v>
      </c>
      <c r="H97" s="134">
        <f>ROUND(G97/18,2)</f>
        <v>1.5</v>
      </c>
      <c r="I97" s="134"/>
      <c r="J97" s="135">
        <f>SUM(H97,I98:I99)</f>
        <v>55.5</v>
      </c>
      <c r="K97" s="106"/>
      <c r="L97" s="134">
        <f>ROUND(K97/18,2)</f>
        <v>0</v>
      </c>
      <c r="M97" s="134"/>
      <c r="N97" s="135">
        <f>SUM(L97,M98:M99)</f>
        <v>12.6</v>
      </c>
      <c r="O97" s="115">
        <f t="shared" ref="O97:O111" si="2">SUM(C97,G97,K97)</f>
        <v>93</v>
      </c>
      <c r="P97" s="174">
        <f>ROUND(O97/36,2)</f>
        <v>2.58</v>
      </c>
      <c r="Q97" s="175" t="s">
        <v>44</v>
      </c>
      <c r="R97" s="176">
        <f>SUM(P97,Q98:Q99)</f>
        <v>59.28</v>
      </c>
    </row>
    <row r="98" spans="1:18" x14ac:dyDescent="0.5">
      <c r="A98" s="56"/>
      <c r="B98" s="33" t="s">
        <v>42</v>
      </c>
      <c r="C98" s="195">
        <f>312</f>
        <v>312</v>
      </c>
      <c r="D98" s="134">
        <f>ROUND(C98/12,2)</f>
        <v>26</v>
      </c>
      <c r="E98" s="134">
        <f>D98*1.8</f>
        <v>46.800000000000004</v>
      </c>
      <c r="F98" s="135"/>
      <c r="G98" s="76">
        <f>360</f>
        <v>360</v>
      </c>
      <c r="H98" s="134">
        <f>ROUND(G98/12,2)</f>
        <v>30</v>
      </c>
      <c r="I98" s="134">
        <f>H98*1.8</f>
        <v>54</v>
      </c>
      <c r="J98" s="135"/>
      <c r="K98" s="95">
        <f>84</f>
        <v>84</v>
      </c>
      <c r="L98" s="134">
        <f>ROUND(K98/12,2)</f>
        <v>7</v>
      </c>
      <c r="M98" s="134">
        <f>L98*1.8</f>
        <v>12.6</v>
      </c>
      <c r="N98" s="135"/>
      <c r="O98" s="115">
        <f t="shared" si="2"/>
        <v>756</v>
      </c>
      <c r="P98" s="175">
        <f>ROUND(O98/24,2)</f>
        <v>31.5</v>
      </c>
      <c r="Q98" s="175">
        <f>P98*1.8</f>
        <v>56.7</v>
      </c>
      <c r="R98" s="176">
        <v>0</v>
      </c>
    </row>
    <row r="99" spans="1:18" x14ac:dyDescent="0.5">
      <c r="A99" s="56"/>
      <c r="B99" s="33" t="s">
        <v>43</v>
      </c>
      <c r="C99" s="195"/>
      <c r="D99" s="134">
        <f>ROUND(C99/12,2)</f>
        <v>0</v>
      </c>
      <c r="E99" s="134">
        <f>D99*1.8</f>
        <v>0</v>
      </c>
      <c r="F99" s="135"/>
      <c r="G99" s="76"/>
      <c r="H99" s="134">
        <f>ROUND(G99/12,2)</f>
        <v>0</v>
      </c>
      <c r="I99" s="134">
        <f>H99*1.8</f>
        <v>0</v>
      </c>
      <c r="J99" s="135"/>
      <c r="K99" s="95"/>
      <c r="L99" s="134">
        <f>ROUND(K99/12,2)</f>
        <v>0</v>
      </c>
      <c r="M99" s="134">
        <f>L99*1.8</f>
        <v>0</v>
      </c>
      <c r="N99" s="135"/>
      <c r="O99" s="119">
        <f t="shared" si="2"/>
        <v>0</v>
      </c>
      <c r="P99" s="175">
        <f>ROUND(O99/24,2)</f>
        <v>0</v>
      </c>
      <c r="Q99" s="175">
        <f>P99*1.8</f>
        <v>0</v>
      </c>
      <c r="R99" s="176">
        <v>0</v>
      </c>
    </row>
    <row r="100" spans="1:18" x14ac:dyDescent="0.5">
      <c r="A100" s="55" t="s">
        <v>57</v>
      </c>
      <c r="B100" s="33" t="s">
        <v>3</v>
      </c>
      <c r="C100" s="195">
        <f>10622</f>
        <v>10622</v>
      </c>
      <c r="D100" s="134">
        <f>ROUND(C100/18,2)</f>
        <v>590.11</v>
      </c>
      <c r="E100" s="134"/>
      <c r="F100" s="135">
        <f>SUM(D100,E101:E102)</f>
        <v>628.36</v>
      </c>
      <c r="G100" s="76">
        <f>8242</f>
        <v>8242</v>
      </c>
      <c r="H100" s="134">
        <f>ROUND(G100/18,2)</f>
        <v>457.89</v>
      </c>
      <c r="I100" s="134"/>
      <c r="J100" s="135">
        <f>SUM(H100,I101:I102)</f>
        <v>489.84</v>
      </c>
      <c r="K100" s="106">
        <f>3497</f>
        <v>3497</v>
      </c>
      <c r="L100" s="134">
        <f>ROUND(K100/18,2)</f>
        <v>194.28</v>
      </c>
      <c r="M100" s="134"/>
      <c r="N100" s="135">
        <f>SUM(L100,M101:M102)</f>
        <v>199.23</v>
      </c>
      <c r="O100" s="115">
        <f t="shared" si="2"/>
        <v>22361</v>
      </c>
      <c r="P100" s="174">
        <f>ROUND(O100/36,2)</f>
        <v>621.14</v>
      </c>
      <c r="Q100" s="175" t="s">
        <v>44</v>
      </c>
      <c r="R100" s="176">
        <f>SUM(P100,Q101:Q102)</f>
        <v>658.72399999999993</v>
      </c>
    </row>
    <row r="101" spans="1:18" x14ac:dyDescent="0.5">
      <c r="A101" s="56"/>
      <c r="B101" s="33" t="s">
        <v>42</v>
      </c>
      <c r="C101" s="195">
        <f>255</f>
        <v>255</v>
      </c>
      <c r="D101" s="134">
        <f>ROUND(C101/12,2)</f>
        <v>21.25</v>
      </c>
      <c r="E101" s="134">
        <f>D101*1.8</f>
        <v>38.25</v>
      </c>
      <c r="F101" s="135"/>
      <c r="G101" s="76">
        <f>213</f>
        <v>213</v>
      </c>
      <c r="H101" s="134">
        <f>ROUND(G101/12,2)</f>
        <v>17.75</v>
      </c>
      <c r="I101" s="134">
        <f>H101*1.8</f>
        <v>31.95</v>
      </c>
      <c r="J101" s="135"/>
      <c r="K101" s="95">
        <f>33</f>
        <v>33</v>
      </c>
      <c r="L101" s="134">
        <f>ROUND(K101/12,2)</f>
        <v>2.75</v>
      </c>
      <c r="M101" s="134">
        <f>L101*1.8</f>
        <v>4.95</v>
      </c>
      <c r="N101" s="135"/>
      <c r="O101" s="115">
        <f t="shared" si="2"/>
        <v>501</v>
      </c>
      <c r="P101" s="175">
        <f>ROUND(O101/24,2)</f>
        <v>20.88</v>
      </c>
      <c r="Q101" s="175">
        <f>P101*1.8</f>
        <v>37.583999999999996</v>
      </c>
      <c r="R101" s="176">
        <v>0</v>
      </c>
    </row>
    <row r="102" spans="1:18" x14ac:dyDescent="0.5">
      <c r="A102" s="56"/>
      <c r="B102" s="33" t="s">
        <v>43</v>
      </c>
      <c r="C102" s="195"/>
      <c r="D102" s="134">
        <f>ROUND(C102/12,2)</f>
        <v>0</v>
      </c>
      <c r="E102" s="134">
        <f>D102*1.8</f>
        <v>0</v>
      </c>
      <c r="F102" s="135"/>
      <c r="G102" s="76"/>
      <c r="H102" s="134">
        <f>ROUND(G102/12,2)</f>
        <v>0</v>
      </c>
      <c r="I102" s="134">
        <f>H102*1.8</f>
        <v>0</v>
      </c>
      <c r="J102" s="135"/>
      <c r="K102" s="95"/>
      <c r="L102" s="134">
        <f>ROUND(K102/12,2)</f>
        <v>0</v>
      </c>
      <c r="M102" s="134">
        <f>L102*1.8</f>
        <v>0</v>
      </c>
      <c r="N102" s="135"/>
      <c r="O102" s="119">
        <f t="shared" si="2"/>
        <v>0</v>
      </c>
      <c r="P102" s="175">
        <f>ROUND(O102/24,2)</f>
        <v>0</v>
      </c>
      <c r="Q102" s="175">
        <f>P102*1.8</f>
        <v>0</v>
      </c>
      <c r="R102" s="176">
        <v>0</v>
      </c>
    </row>
    <row r="103" spans="1:18" x14ac:dyDescent="0.5">
      <c r="A103" s="55" t="s">
        <v>58</v>
      </c>
      <c r="B103" s="33" t="s">
        <v>3</v>
      </c>
      <c r="C103" s="195">
        <f>27636</f>
        <v>27636</v>
      </c>
      <c r="D103" s="134">
        <f>ROUND(C103/18,2)</f>
        <v>1535.33</v>
      </c>
      <c r="E103" s="134"/>
      <c r="F103" s="135">
        <f>SUM(D103,E104:E105)</f>
        <v>1714.5739999999998</v>
      </c>
      <c r="G103" s="76">
        <f>21624</f>
        <v>21624</v>
      </c>
      <c r="H103" s="134">
        <f>ROUND(G103/18,2)</f>
        <v>1201.33</v>
      </c>
      <c r="I103" s="134"/>
      <c r="J103" s="135">
        <f>SUM(H103,I104:I105)</f>
        <v>1345.33</v>
      </c>
      <c r="K103" s="106">
        <f>11781</f>
        <v>11781</v>
      </c>
      <c r="L103" s="134">
        <f>ROUND(K103/18,2)</f>
        <v>654.5</v>
      </c>
      <c r="M103" s="134"/>
      <c r="N103" s="135">
        <f>SUM(L103,M104:M105)</f>
        <v>716.6</v>
      </c>
      <c r="O103" s="115">
        <f t="shared" si="2"/>
        <v>61041</v>
      </c>
      <c r="P103" s="174">
        <f>ROUND(O103/36,2)</f>
        <v>1695.58</v>
      </c>
      <c r="Q103" s="175" t="s">
        <v>44</v>
      </c>
      <c r="R103" s="176">
        <f>SUM(P103,Q104:Q105)</f>
        <v>1888.27</v>
      </c>
    </row>
    <row r="104" spans="1:18" x14ac:dyDescent="0.5">
      <c r="A104" s="56"/>
      <c r="B104" s="33" t="s">
        <v>42</v>
      </c>
      <c r="C104" s="195">
        <f>1078</f>
        <v>1078</v>
      </c>
      <c r="D104" s="134">
        <f>ROUND(C104/12,2)</f>
        <v>89.83</v>
      </c>
      <c r="E104" s="134">
        <f>D104*1.8</f>
        <v>161.69399999999999</v>
      </c>
      <c r="F104" s="135"/>
      <c r="G104" s="76">
        <f>762</f>
        <v>762</v>
      </c>
      <c r="H104" s="134">
        <f>ROUND(G104/12,2)</f>
        <v>63.5</v>
      </c>
      <c r="I104" s="134">
        <f>H104*1.8</f>
        <v>114.3</v>
      </c>
      <c r="J104" s="135"/>
      <c r="K104" s="95">
        <f>330</f>
        <v>330</v>
      </c>
      <c r="L104" s="134">
        <f>ROUND(K104/12,2)</f>
        <v>27.5</v>
      </c>
      <c r="M104" s="134">
        <f>L104*1.8</f>
        <v>49.5</v>
      </c>
      <c r="N104" s="135"/>
      <c r="O104" s="115">
        <f t="shared" si="2"/>
        <v>2170</v>
      </c>
      <c r="P104" s="175">
        <f>ROUND(O104/24,2)</f>
        <v>90.42</v>
      </c>
      <c r="Q104" s="175">
        <f>P104*1.8</f>
        <v>162.756</v>
      </c>
      <c r="R104" s="176">
        <v>0</v>
      </c>
    </row>
    <row r="105" spans="1:18" x14ac:dyDescent="0.5">
      <c r="A105" s="56"/>
      <c r="B105" s="33" t="s">
        <v>43</v>
      </c>
      <c r="C105" s="195">
        <f>117</f>
        <v>117</v>
      </c>
      <c r="D105" s="134">
        <f>ROUND(C105/12,2)</f>
        <v>9.75</v>
      </c>
      <c r="E105" s="134">
        <f>D105*1.8</f>
        <v>17.55</v>
      </c>
      <c r="F105" s="135"/>
      <c r="G105" s="76">
        <f>198</f>
        <v>198</v>
      </c>
      <c r="H105" s="134">
        <f>ROUND(G105/12,2)</f>
        <v>16.5</v>
      </c>
      <c r="I105" s="134">
        <f>H105*1.8</f>
        <v>29.7</v>
      </c>
      <c r="J105" s="135"/>
      <c r="K105" s="95">
        <f>84</f>
        <v>84</v>
      </c>
      <c r="L105" s="134">
        <f>ROUND(K105/12,2)</f>
        <v>7</v>
      </c>
      <c r="M105" s="134">
        <f>L105*1.8</f>
        <v>12.6</v>
      </c>
      <c r="N105" s="135"/>
      <c r="O105" s="119">
        <f t="shared" si="2"/>
        <v>399</v>
      </c>
      <c r="P105" s="175">
        <f>ROUND(O105/24,2)</f>
        <v>16.63</v>
      </c>
      <c r="Q105" s="175">
        <f>P105*1.8</f>
        <v>29.933999999999997</v>
      </c>
      <c r="R105" s="176">
        <v>0</v>
      </c>
    </row>
    <row r="106" spans="1:18" x14ac:dyDescent="0.5">
      <c r="A106" s="55" t="s">
        <v>92</v>
      </c>
      <c r="B106" s="33" t="s">
        <v>3</v>
      </c>
      <c r="C106" s="195">
        <f>9804</f>
        <v>9804</v>
      </c>
      <c r="D106" s="134">
        <f>ROUND(C106/18,2)</f>
        <v>544.66999999999996</v>
      </c>
      <c r="E106" s="134"/>
      <c r="F106" s="135">
        <f>SUM(D106,E107:E108)</f>
        <v>582.46999999999991</v>
      </c>
      <c r="G106" s="76">
        <f>10896</f>
        <v>10896</v>
      </c>
      <c r="H106" s="134">
        <f>ROUND(G106/18,2)</f>
        <v>605.33000000000004</v>
      </c>
      <c r="I106" s="134"/>
      <c r="J106" s="135">
        <f>SUM(H106,I107:I108)</f>
        <v>606.68000000000006</v>
      </c>
      <c r="K106" s="106">
        <f>3261</f>
        <v>3261</v>
      </c>
      <c r="L106" s="134">
        <f>ROUND(K106/18,2)</f>
        <v>181.17</v>
      </c>
      <c r="M106" s="134"/>
      <c r="N106" s="135">
        <f>SUM(L106,M107:M108)</f>
        <v>181.17</v>
      </c>
      <c r="O106" s="115">
        <f t="shared" si="2"/>
        <v>23961</v>
      </c>
      <c r="P106" s="174">
        <f>ROUND(O106/36,2)</f>
        <v>665.58</v>
      </c>
      <c r="Q106" s="175" t="s">
        <v>44</v>
      </c>
      <c r="R106" s="176">
        <f>SUM(P106,Q107:Q108)</f>
        <v>685.16399999999999</v>
      </c>
    </row>
    <row r="107" spans="1:18" x14ac:dyDescent="0.5">
      <c r="A107" s="56"/>
      <c r="B107" s="33" t="s">
        <v>42</v>
      </c>
      <c r="C107" s="195">
        <f>252</f>
        <v>252</v>
      </c>
      <c r="D107" s="134">
        <f>ROUND(C107/12,2)</f>
        <v>21</v>
      </c>
      <c r="E107" s="134">
        <f>D107*1.8</f>
        <v>37.800000000000004</v>
      </c>
      <c r="F107" s="135"/>
      <c r="G107" s="76">
        <f>9</f>
        <v>9</v>
      </c>
      <c r="H107" s="134">
        <f>ROUND(G107/12,2)</f>
        <v>0.75</v>
      </c>
      <c r="I107" s="134">
        <f>H107*1.8</f>
        <v>1.35</v>
      </c>
      <c r="J107" s="135"/>
      <c r="K107" s="95"/>
      <c r="L107" s="134">
        <f>ROUND(K107/12,2)</f>
        <v>0</v>
      </c>
      <c r="M107" s="134">
        <f>L107*1.8</f>
        <v>0</v>
      </c>
      <c r="N107" s="135"/>
      <c r="O107" s="115">
        <f t="shared" si="2"/>
        <v>261</v>
      </c>
      <c r="P107" s="175">
        <f>ROUND(O107/24,2)</f>
        <v>10.88</v>
      </c>
      <c r="Q107" s="175">
        <f>P107*1.8</f>
        <v>19.584000000000003</v>
      </c>
      <c r="R107" s="176">
        <v>0</v>
      </c>
    </row>
    <row r="108" spans="1:18" x14ac:dyDescent="0.5">
      <c r="A108" s="56"/>
      <c r="B108" s="33" t="s">
        <v>43</v>
      </c>
      <c r="C108" s="195"/>
      <c r="D108" s="134">
        <f>ROUND(C108/12,2)</f>
        <v>0</v>
      </c>
      <c r="E108" s="134">
        <f>D108*1.8</f>
        <v>0</v>
      </c>
      <c r="F108" s="135"/>
      <c r="G108" s="95"/>
      <c r="H108" s="134">
        <f>ROUND(G108/12,2)</f>
        <v>0</v>
      </c>
      <c r="I108" s="134">
        <f>H108*1.8</f>
        <v>0</v>
      </c>
      <c r="J108" s="135"/>
      <c r="K108" s="95"/>
      <c r="L108" s="134">
        <f>ROUND(K108/12,2)</f>
        <v>0</v>
      </c>
      <c r="M108" s="134">
        <f>L108*1.8</f>
        <v>0</v>
      </c>
      <c r="N108" s="135"/>
      <c r="O108" s="119">
        <f t="shared" si="2"/>
        <v>0</v>
      </c>
      <c r="P108" s="175">
        <f>ROUND(O108/24,2)</f>
        <v>0</v>
      </c>
      <c r="Q108" s="175">
        <f>P108*1.8</f>
        <v>0</v>
      </c>
      <c r="R108" s="176">
        <v>0</v>
      </c>
    </row>
    <row r="109" spans="1:18" x14ac:dyDescent="0.5">
      <c r="A109" s="63" t="s">
        <v>56</v>
      </c>
      <c r="B109" s="38" t="s">
        <v>3</v>
      </c>
      <c r="C109" s="198">
        <f>SUM(C97,C100,C103,C106)</f>
        <v>48128</v>
      </c>
      <c r="D109" s="140">
        <f>ROUND(C109/18,2)</f>
        <v>2673.78</v>
      </c>
      <c r="E109" s="140"/>
      <c r="F109" s="141">
        <f>SUM(D109,E110:E111)</f>
        <v>2975.8740000000003</v>
      </c>
      <c r="G109" s="78">
        <f>SUM(G97,G100,G103,G106)</f>
        <v>40789</v>
      </c>
      <c r="H109" s="140">
        <f>ROUND(G109/18,2)</f>
        <v>2266.06</v>
      </c>
      <c r="I109" s="140"/>
      <c r="J109" s="141">
        <f>SUM(H109,I110:I111)</f>
        <v>2497.3599999999997</v>
      </c>
      <c r="K109" s="78">
        <f>SUM(K97,K100,K103,K106)</f>
        <v>18539</v>
      </c>
      <c r="L109" s="140">
        <f>ROUND(K109/18,2)</f>
        <v>1029.94</v>
      </c>
      <c r="M109" s="140"/>
      <c r="N109" s="141">
        <f>SUM(L109,M110:M111)</f>
        <v>1109.5899999999999</v>
      </c>
      <c r="O109" s="120">
        <f t="shared" si="2"/>
        <v>107456</v>
      </c>
      <c r="P109" s="184">
        <f>ROUND(O109/36,2)</f>
        <v>2984.89</v>
      </c>
      <c r="Q109" s="185" t="s">
        <v>44</v>
      </c>
      <c r="R109" s="176">
        <f>SUM(P109,Q110:Q111)</f>
        <v>3291.4300000000003</v>
      </c>
    </row>
    <row r="110" spans="1:18" x14ac:dyDescent="0.5">
      <c r="A110" s="68">
        <f>SUM(G109:G110)</f>
        <v>42133</v>
      </c>
      <c r="B110" s="38" t="s">
        <v>42</v>
      </c>
      <c r="C110" s="198">
        <f>SUM(C98,C101,C104,C107)</f>
        <v>1897</v>
      </c>
      <c r="D110" s="140">
        <f>ROUND(C110/12,2)</f>
        <v>158.08000000000001</v>
      </c>
      <c r="E110" s="140">
        <f>D110*1.8</f>
        <v>284.54400000000004</v>
      </c>
      <c r="F110" s="141"/>
      <c r="G110" s="78">
        <f>SUM(G98,G101,G104,G107)</f>
        <v>1344</v>
      </c>
      <c r="H110" s="140">
        <f>ROUND(G110/12,2)</f>
        <v>112</v>
      </c>
      <c r="I110" s="140">
        <f>H110*1.8</f>
        <v>201.6</v>
      </c>
      <c r="J110" s="141"/>
      <c r="K110" s="78">
        <f>SUM(K98,K101,K104,K107)</f>
        <v>447</v>
      </c>
      <c r="L110" s="140">
        <f>ROUND(K110/12,2)</f>
        <v>37.25</v>
      </c>
      <c r="M110" s="140">
        <f>L110*1.8</f>
        <v>67.05</v>
      </c>
      <c r="N110" s="141"/>
      <c r="O110" s="122">
        <f t="shared" si="2"/>
        <v>3688</v>
      </c>
      <c r="P110" s="185">
        <f>ROUND(O110/24,2)</f>
        <v>153.66999999999999</v>
      </c>
      <c r="Q110" s="185">
        <f>P110*1.8</f>
        <v>276.60599999999999</v>
      </c>
      <c r="R110" s="176">
        <v>0</v>
      </c>
    </row>
    <row r="111" spans="1:18" ht="22.5" thickBot="1" x14ac:dyDescent="0.55000000000000004">
      <c r="A111" s="57"/>
      <c r="B111" s="39" t="s">
        <v>43</v>
      </c>
      <c r="C111" s="81">
        <f>SUM(C99,C102,C105,C108)</f>
        <v>117</v>
      </c>
      <c r="D111" s="142">
        <f>ROUND(C111/12,2)</f>
        <v>9.75</v>
      </c>
      <c r="E111" s="142">
        <f>D111*1.8</f>
        <v>17.55</v>
      </c>
      <c r="F111" s="143"/>
      <c r="G111" s="79">
        <f>SUM(G99,G102,G105,G108)</f>
        <v>198</v>
      </c>
      <c r="H111" s="142">
        <f>ROUND(G111/12,2)</f>
        <v>16.5</v>
      </c>
      <c r="I111" s="142">
        <f>H111*1.8</f>
        <v>29.7</v>
      </c>
      <c r="J111" s="143"/>
      <c r="K111" s="79">
        <f>SUM(K99,K102,K105,K108)</f>
        <v>84</v>
      </c>
      <c r="L111" s="142">
        <f>ROUND(K111/12,2)</f>
        <v>7</v>
      </c>
      <c r="M111" s="142">
        <f>L111*1.8</f>
        <v>12.6</v>
      </c>
      <c r="N111" s="143"/>
      <c r="O111" s="123">
        <f t="shared" si="2"/>
        <v>399</v>
      </c>
      <c r="P111" s="187">
        <f>ROUND(O111/24,2)</f>
        <v>16.63</v>
      </c>
      <c r="Q111" s="187">
        <f>P111*1.8</f>
        <v>29.933999999999997</v>
      </c>
      <c r="R111" s="179">
        <v>0</v>
      </c>
    </row>
    <row r="112" spans="1:18" x14ac:dyDescent="0.5">
      <c r="A112" s="58" t="s">
        <v>12</v>
      </c>
      <c r="B112" s="36"/>
      <c r="C112" s="196"/>
      <c r="D112" s="138"/>
      <c r="E112" s="138"/>
      <c r="F112" s="139"/>
      <c r="G112" s="97"/>
      <c r="H112" s="138"/>
      <c r="I112" s="168"/>
      <c r="J112" s="139"/>
      <c r="K112" s="111"/>
      <c r="L112" s="138"/>
      <c r="M112" s="138"/>
      <c r="N112" s="139"/>
      <c r="O112" s="124"/>
      <c r="P112" s="183"/>
      <c r="Q112" s="181"/>
      <c r="R112" s="182"/>
    </row>
    <row r="113" spans="1:18" x14ac:dyDescent="0.5">
      <c r="A113" s="55" t="s">
        <v>41</v>
      </c>
      <c r="B113" s="33" t="s">
        <v>3</v>
      </c>
      <c r="C113" s="195">
        <f>4425+2968+573</f>
        <v>7966</v>
      </c>
      <c r="D113" s="134">
        <f>ROUND(C113/18,2)</f>
        <v>442.56</v>
      </c>
      <c r="E113" s="134"/>
      <c r="F113" s="135">
        <f>SUM(D113,E114:E115)</f>
        <v>657.06</v>
      </c>
      <c r="G113" s="76">
        <f>4095+1584+1259</f>
        <v>6938</v>
      </c>
      <c r="H113" s="134">
        <f>ROUND(G113/18,2)</f>
        <v>385.44</v>
      </c>
      <c r="I113" s="134"/>
      <c r="J113" s="135">
        <f>SUM(H113,I114:I115)</f>
        <v>570.28</v>
      </c>
      <c r="K113" s="95">
        <f>2149+865+702</f>
        <v>3716</v>
      </c>
      <c r="L113" s="134">
        <f>ROUND(K113/18,2)</f>
        <v>206.44</v>
      </c>
      <c r="M113" s="134"/>
      <c r="N113" s="135">
        <f>SUM(L113,M114:M115)</f>
        <v>318.10000000000002</v>
      </c>
      <c r="O113" s="115">
        <f>SUM(C113,G113,K113)</f>
        <v>18620</v>
      </c>
      <c r="P113" s="174">
        <f>ROUND(O113/36,2)</f>
        <v>517.22</v>
      </c>
      <c r="Q113" s="175" t="s">
        <v>44</v>
      </c>
      <c r="R113" s="176">
        <f>SUM(P113,Q114:Q115)</f>
        <v>772.72</v>
      </c>
    </row>
    <row r="114" spans="1:18" x14ac:dyDescent="0.5">
      <c r="A114" s="68"/>
      <c r="B114" s="33" t="s">
        <v>42</v>
      </c>
      <c r="C114" s="195">
        <f>903+384</f>
        <v>1287</v>
      </c>
      <c r="D114" s="134">
        <f>ROUND(C114/12,2)</f>
        <v>107.25</v>
      </c>
      <c r="E114" s="134">
        <f>D114*2</f>
        <v>214.5</v>
      </c>
      <c r="F114" s="135"/>
      <c r="G114" s="76">
        <f>1109</f>
        <v>1109</v>
      </c>
      <c r="H114" s="134">
        <f>ROUND(G114/12,2)</f>
        <v>92.42</v>
      </c>
      <c r="I114" s="134">
        <f>H114*2</f>
        <v>184.84</v>
      </c>
      <c r="J114" s="135"/>
      <c r="K114" s="95">
        <f>451+219</f>
        <v>670</v>
      </c>
      <c r="L114" s="134">
        <f>ROUND(K114/12,2)</f>
        <v>55.83</v>
      </c>
      <c r="M114" s="134">
        <f>L114*2</f>
        <v>111.66</v>
      </c>
      <c r="N114" s="135"/>
      <c r="O114" s="119">
        <f>SUM(C114,G114,K114)</f>
        <v>3066</v>
      </c>
      <c r="P114" s="174">
        <f>ROUND(O114/24,2)</f>
        <v>127.75</v>
      </c>
      <c r="Q114" s="175">
        <f>P114*2</f>
        <v>255.5</v>
      </c>
      <c r="R114" s="176">
        <v>0</v>
      </c>
    </row>
    <row r="115" spans="1:18" ht="22.5" thickBot="1" x14ac:dyDescent="0.55000000000000004">
      <c r="A115" s="57"/>
      <c r="B115" s="34" t="s">
        <v>43</v>
      </c>
      <c r="C115" s="80"/>
      <c r="D115" s="136">
        <f>ROUND(C115/12,2)</f>
        <v>0</v>
      </c>
      <c r="E115" s="136">
        <f>D115*2</f>
        <v>0</v>
      </c>
      <c r="F115" s="137"/>
      <c r="G115" s="96"/>
      <c r="H115" s="136">
        <f>ROUND(G115/12,2)</f>
        <v>0</v>
      </c>
      <c r="I115" s="136">
        <f>H115*2</f>
        <v>0</v>
      </c>
      <c r="J115" s="137"/>
      <c r="K115" s="96"/>
      <c r="L115" s="136">
        <f>ROUND(K115/12,2)</f>
        <v>0</v>
      </c>
      <c r="M115" s="136">
        <f>L115*2</f>
        <v>0</v>
      </c>
      <c r="N115" s="137"/>
      <c r="O115" s="125">
        <f>SUM(C115,G115,K115)</f>
        <v>0</v>
      </c>
      <c r="P115" s="177">
        <f>ROUND(O115/24,2)</f>
        <v>0</v>
      </c>
      <c r="Q115" s="178">
        <f>P115*2</f>
        <v>0</v>
      </c>
      <c r="R115" s="179">
        <v>0</v>
      </c>
    </row>
    <row r="116" spans="1:18" x14ac:dyDescent="0.5">
      <c r="A116" s="58" t="s">
        <v>13</v>
      </c>
      <c r="B116" s="36"/>
      <c r="C116" s="196"/>
      <c r="D116" s="138"/>
      <c r="E116" s="138"/>
      <c r="F116" s="139"/>
      <c r="G116" s="97"/>
      <c r="H116" s="138"/>
      <c r="I116" s="168"/>
      <c r="J116" s="139"/>
      <c r="K116" s="111"/>
      <c r="L116" s="138"/>
      <c r="M116" s="138"/>
      <c r="N116" s="139"/>
      <c r="O116" s="124"/>
      <c r="P116" s="183"/>
      <c r="Q116" s="181"/>
      <c r="R116" s="182"/>
    </row>
    <row r="117" spans="1:18" x14ac:dyDescent="0.5">
      <c r="A117" s="55" t="s">
        <v>41</v>
      </c>
      <c r="B117" s="33" t="s">
        <v>3</v>
      </c>
      <c r="C117" s="195">
        <f>3560+5922+17</f>
        <v>9499</v>
      </c>
      <c r="D117" s="134">
        <f>ROUND(C117/18,2)</f>
        <v>527.72</v>
      </c>
      <c r="E117" s="134"/>
      <c r="F117" s="135">
        <f>SUM(D117,E118:E119)</f>
        <v>559.38</v>
      </c>
      <c r="G117" s="76">
        <f>3194+2541+3</f>
        <v>5738</v>
      </c>
      <c r="H117" s="134">
        <f>ROUND(G117/18,2)</f>
        <v>318.77999999999997</v>
      </c>
      <c r="I117" s="134"/>
      <c r="J117" s="135">
        <f>SUM(H117,I118:I119)</f>
        <v>341.61999999999995</v>
      </c>
      <c r="K117" s="95">
        <f>660+1182+6</f>
        <v>1848</v>
      </c>
      <c r="L117" s="134">
        <f>ROUND(K117/18,2)</f>
        <v>102.67</v>
      </c>
      <c r="M117" s="134"/>
      <c r="N117" s="135">
        <f>SUM(L117,M118:M119)</f>
        <v>102.67</v>
      </c>
      <c r="O117" s="115">
        <f>SUM(C117,G117,K117)</f>
        <v>17085</v>
      </c>
      <c r="P117" s="174">
        <f>ROUND(O117/36,2)</f>
        <v>474.58</v>
      </c>
      <c r="Q117" s="175" t="s">
        <v>44</v>
      </c>
      <c r="R117" s="176">
        <f>SUM(P117,Q118:Q119)</f>
        <v>501.84</v>
      </c>
    </row>
    <row r="118" spans="1:18" x14ac:dyDescent="0.5">
      <c r="A118" s="68"/>
      <c r="B118" s="33" t="s">
        <v>42</v>
      </c>
      <c r="C118" s="195">
        <f>178+12</f>
        <v>190</v>
      </c>
      <c r="D118" s="134">
        <f>ROUND(C118/12,2)</f>
        <v>15.83</v>
      </c>
      <c r="E118" s="134">
        <f>D118*2</f>
        <v>31.66</v>
      </c>
      <c r="F118" s="135"/>
      <c r="G118" s="76">
        <f>1+136</f>
        <v>137</v>
      </c>
      <c r="H118" s="134">
        <f>ROUND(G118/12,2)</f>
        <v>11.42</v>
      </c>
      <c r="I118" s="134">
        <f>H118*2</f>
        <v>22.84</v>
      </c>
      <c r="J118" s="135"/>
      <c r="K118" s="95"/>
      <c r="L118" s="134">
        <f>ROUND(K118/12,2)</f>
        <v>0</v>
      </c>
      <c r="M118" s="134">
        <f>L118*2</f>
        <v>0</v>
      </c>
      <c r="N118" s="135"/>
      <c r="O118" s="119">
        <f>SUM(C118,G118,K118)</f>
        <v>327</v>
      </c>
      <c r="P118" s="174">
        <f>ROUND(O118/24,2)</f>
        <v>13.63</v>
      </c>
      <c r="Q118" s="175">
        <f>P118*2</f>
        <v>27.26</v>
      </c>
      <c r="R118" s="176">
        <v>0</v>
      </c>
    </row>
    <row r="119" spans="1:18" ht="22.5" thickBot="1" x14ac:dyDescent="0.55000000000000004">
      <c r="A119" s="57"/>
      <c r="B119" s="34" t="s">
        <v>43</v>
      </c>
      <c r="C119" s="80"/>
      <c r="D119" s="136">
        <f>ROUND(C119/12,2)</f>
        <v>0</v>
      </c>
      <c r="E119" s="136">
        <f>D119*2</f>
        <v>0</v>
      </c>
      <c r="F119" s="137"/>
      <c r="G119" s="96"/>
      <c r="H119" s="136">
        <f>ROUND(G119/12,2)</f>
        <v>0</v>
      </c>
      <c r="I119" s="136">
        <f>H119*2</f>
        <v>0</v>
      </c>
      <c r="J119" s="137"/>
      <c r="K119" s="96"/>
      <c r="L119" s="136">
        <f>ROUND(K119/12,2)</f>
        <v>0</v>
      </c>
      <c r="M119" s="136">
        <f>L119*2</f>
        <v>0</v>
      </c>
      <c r="N119" s="137"/>
      <c r="O119" s="125">
        <f>SUM(C119,G119,K119)</f>
        <v>0</v>
      </c>
      <c r="P119" s="177">
        <f>ROUND(O119/24,2)</f>
        <v>0</v>
      </c>
      <c r="Q119" s="178">
        <f>P119*2</f>
        <v>0</v>
      </c>
      <c r="R119" s="179">
        <v>0</v>
      </c>
    </row>
    <row r="120" spans="1:18" x14ac:dyDescent="0.5">
      <c r="A120" s="58" t="s">
        <v>14</v>
      </c>
      <c r="B120" s="36"/>
      <c r="C120" s="196"/>
      <c r="D120" s="138"/>
      <c r="E120" s="138"/>
      <c r="F120" s="139"/>
      <c r="G120" s="97"/>
      <c r="H120" s="138"/>
      <c r="I120" s="168"/>
      <c r="J120" s="139"/>
      <c r="K120" s="108"/>
      <c r="L120" s="138"/>
      <c r="M120" s="138"/>
      <c r="N120" s="139"/>
      <c r="O120" s="118"/>
      <c r="P120" s="183"/>
      <c r="Q120" s="181"/>
      <c r="R120" s="182"/>
    </row>
    <row r="121" spans="1:18" x14ac:dyDescent="0.5">
      <c r="A121" s="55" t="s">
        <v>59</v>
      </c>
      <c r="B121" s="33" t="s">
        <v>3</v>
      </c>
      <c r="C121" s="195">
        <f>6567</f>
        <v>6567</v>
      </c>
      <c r="D121" s="134">
        <f>ROUND(C121/18,2)</f>
        <v>364.83</v>
      </c>
      <c r="E121" s="134"/>
      <c r="F121" s="135">
        <f>SUM(D121,E122:E123)</f>
        <v>391.16999999999996</v>
      </c>
      <c r="G121" s="76">
        <v>5173</v>
      </c>
      <c r="H121" s="134">
        <f>ROUND(G121/18,2)</f>
        <v>287.39</v>
      </c>
      <c r="I121" s="134"/>
      <c r="J121" s="135">
        <f>SUM(H121,I122:I123)</f>
        <v>352.54999999999995</v>
      </c>
      <c r="K121" s="106">
        <f>2979</f>
        <v>2979</v>
      </c>
      <c r="L121" s="134">
        <f>ROUND(K121/18,2)</f>
        <v>165.5</v>
      </c>
      <c r="M121" s="134"/>
      <c r="N121" s="135">
        <f>SUM(L121,M122:M123)</f>
        <v>165.5</v>
      </c>
      <c r="O121" s="115">
        <f t="shared" ref="O121:O153" si="3">SUM(C121,G121,K121)</f>
        <v>14719</v>
      </c>
      <c r="P121" s="174">
        <f>ROUND(O121/36,2)</f>
        <v>408.86</v>
      </c>
      <c r="Q121" s="175" t="s">
        <v>44</v>
      </c>
      <c r="R121" s="176">
        <f>SUM(P121,Q122:Q123)</f>
        <v>454.62</v>
      </c>
    </row>
    <row r="122" spans="1:18" x14ac:dyDescent="0.5">
      <c r="A122" s="56"/>
      <c r="B122" s="33" t="s">
        <v>42</v>
      </c>
      <c r="C122" s="195">
        <f>158</f>
        <v>158</v>
      </c>
      <c r="D122" s="134">
        <f>ROUND(C122/12,2)</f>
        <v>13.17</v>
      </c>
      <c r="E122" s="134">
        <f>D122*2</f>
        <v>26.34</v>
      </c>
      <c r="F122" s="135"/>
      <c r="G122" s="76">
        <v>391</v>
      </c>
      <c r="H122" s="134">
        <f>ROUND(G122/12,2)</f>
        <v>32.58</v>
      </c>
      <c r="I122" s="134">
        <f>H122*2</f>
        <v>65.16</v>
      </c>
      <c r="J122" s="135"/>
      <c r="K122" s="106"/>
      <c r="L122" s="134">
        <f>ROUND(K122/12,2)</f>
        <v>0</v>
      </c>
      <c r="M122" s="134">
        <f>L122*2</f>
        <v>0</v>
      </c>
      <c r="N122" s="135"/>
      <c r="O122" s="115">
        <f t="shared" si="3"/>
        <v>549</v>
      </c>
      <c r="P122" s="174">
        <f>ROUND(O122/24,2)</f>
        <v>22.88</v>
      </c>
      <c r="Q122" s="175">
        <f>P122*2</f>
        <v>45.76</v>
      </c>
      <c r="R122" s="176">
        <v>0</v>
      </c>
    </row>
    <row r="123" spans="1:18" x14ac:dyDescent="0.5">
      <c r="A123" s="56"/>
      <c r="B123" s="33" t="s">
        <v>43</v>
      </c>
      <c r="C123" s="195"/>
      <c r="D123" s="134">
        <f>ROUND(C123/12,2)</f>
        <v>0</v>
      </c>
      <c r="E123" s="134">
        <f>D123*2</f>
        <v>0</v>
      </c>
      <c r="F123" s="135"/>
      <c r="G123" s="76"/>
      <c r="H123" s="134">
        <f>ROUND(G123/12,2)</f>
        <v>0</v>
      </c>
      <c r="I123" s="134">
        <f>H123*2</f>
        <v>0</v>
      </c>
      <c r="J123" s="135"/>
      <c r="K123" s="106"/>
      <c r="L123" s="134">
        <f>ROUND(K123/12,2)</f>
        <v>0</v>
      </c>
      <c r="M123" s="134">
        <f>L123*2</f>
        <v>0</v>
      </c>
      <c r="N123" s="135"/>
      <c r="O123" s="119">
        <f t="shared" si="3"/>
        <v>0</v>
      </c>
      <c r="P123" s="174">
        <f>ROUND(O123/24,2)</f>
        <v>0</v>
      </c>
      <c r="Q123" s="175">
        <f>P123*2</f>
        <v>0</v>
      </c>
      <c r="R123" s="176">
        <v>0</v>
      </c>
    </row>
    <row r="124" spans="1:18" x14ac:dyDescent="0.5">
      <c r="A124" s="55" t="s">
        <v>60</v>
      </c>
      <c r="B124" s="33" t="s">
        <v>3</v>
      </c>
      <c r="C124" s="195">
        <f>1220</f>
        <v>1220</v>
      </c>
      <c r="D124" s="134">
        <f>ROUND(C124/18,2)</f>
        <v>67.78</v>
      </c>
      <c r="E124" s="134"/>
      <c r="F124" s="135">
        <f>SUM(D124,E125:E126)</f>
        <v>106.78</v>
      </c>
      <c r="G124" s="76">
        <f>916</f>
        <v>916</v>
      </c>
      <c r="H124" s="134">
        <f>ROUND(G124/18,2)</f>
        <v>50.89</v>
      </c>
      <c r="I124" s="134"/>
      <c r="J124" s="135">
        <f>SUM(H124,I125:I126)</f>
        <v>106.73</v>
      </c>
      <c r="K124" s="106">
        <f>51</f>
        <v>51</v>
      </c>
      <c r="L124" s="134">
        <f>ROUND(K124/18,2)</f>
        <v>2.83</v>
      </c>
      <c r="M124" s="134"/>
      <c r="N124" s="135">
        <f>SUM(L124,M125:M126)</f>
        <v>2.83</v>
      </c>
      <c r="O124" s="115">
        <f t="shared" si="3"/>
        <v>2187</v>
      </c>
      <c r="P124" s="174">
        <f>ROUND(O124/36,2)</f>
        <v>60.75</v>
      </c>
      <c r="Q124" s="175" t="s">
        <v>44</v>
      </c>
      <c r="R124" s="176">
        <f>SUM(P124,Q125:Q126)</f>
        <v>108.17</v>
      </c>
    </row>
    <row r="125" spans="1:18" x14ac:dyDescent="0.5">
      <c r="A125" s="56"/>
      <c r="B125" s="33" t="s">
        <v>42</v>
      </c>
      <c r="C125" s="195">
        <f>234</f>
        <v>234</v>
      </c>
      <c r="D125" s="134">
        <f>ROUND(C125/12,2)</f>
        <v>19.5</v>
      </c>
      <c r="E125" s="134">
        <f>D125*2</f>
        <v>39</v>
      </c>
      <c r="F125" s="135"/>
      <c r="G125" s="76">
        <f>335</f>
        <v>335</v>
      </c>
      <c r="H125" s="134">
        <f>ROUND(G125/12,2)</f>
        <v>27.92</v>
      </c>
      <c r="I125" s="134">
        <f>H125*2</f>
        <v>55.84</v>
      </c>
      <c r="J125" s="135"/>
      <c r="K125" s="106"/>
      <c r="L125" s="134">
        <f>ROUND(K125/12,2)</f>
        <v>0</v>
      </c>
      <c r="M125" s="134">
        <f>L125*2</f>
        <v>0</v>
      </c>
      <c r="N125" s="135"/>
      <c r="O125" s="115">
        <f t="shared" si="3"/>
        <v>569</v>
      </c>
      <c r="P125" s="174">
        <f>ROUND(O125/24,2)</f>
        <v>23.71</v>
      </c>
      <c r="Q125" s="175">
        <f>P125*2</f>
        <v>47.42</v>
      </c>
      <c r="R125" s="176">
        <v>0</v>
      </c>
    </row>
    <row r="126" spans="1:18" x14ac:dyDescent="0.5">
      <c r="A126" s="56"/>
      <c r="B126" s="33" t="s">
        <v>43</v>
      </c>
      <c r="C126" s="195"/>
      <c r="D126" s="134">
        <f>ROUND(C126/12,2)</f>
        <v>0</v>
      </c>
      <c r="E126" s="134">
        <f>D126*2</f>
        <v>0</v>
      </c>
      <c r="F126" s="135"/>
      <c r="G126" s="76"/>
      <c r="H126" s="134">
        <f>ROUND(G126/12,2)</f>
        <v>0</v>
      </c>
      <c r="I126" s="134">
        <f>H126*2</f>
        <v>0</v>
      </c>
      <c r="J126" s="135"/>
      <c r="K126" s="106"/>
      <c r="L126" s="134">
        <f>ROUND(K126/12,2)</f>
        <v>0</v>
      </c>
      <c r="M126" s="134">
        <f>L126*2</f>
        <v>0</v>
      </c>
      <c r="N126" s="135"/>
      <c r="O126" s="119">
        <f t="shared" si="3"/>
        <v>0</v>
      </c>
      <c r="P126" s="174">
        <f>ROUND(O126/24,2)</f>
        <v>0</v>
      </c>
      <c r="Q126" s="175">
        <f>P126*2</f>
        <v>0</v>
      </c>
      <c r="R126" s="176">
        <v>0</v>
      </c>
    </row>
    <row r="127" spans="1:18" x14ac:dyDescent="0.5">
      <c r="A127" s="55" t="s">
        <v>61</v>
      </c>
      <c r="B127" s="33" t="s">
        <v>3</v>
      </c>
      <c r="C127" s="195">
        <f>89</f>
        <v>89</v>
      </c>
      <c r="D127" s="134">
        <f>ROUND(C127/18,2)</f>
        <v>4.9400000000000004</v>
      </c>
      <c r="E127" s="134"/>
      <c r="F127" s="135">
        <f>SUM(D127,E128:E129)</f>
        <v>4.9400000000000004</v>
      </c>
      <c r="G127" s="76">
        <f>264</f>
        <v>264</v>
      </c>
      <c r="H127" s="134">
        <f>ROUND(G127/18,2)</f>
        <v>14.67</v>
      </c>
      <c r="I127" s="134"/>
      <c r="J127" s="135">
        <f>SUM(H127,I128:I129)</f>
        <v>14.67</v>
      </c>
      <c r="K127" s="106"/>
      <c r="L127" s="134">
        <f>ROUND(K127/18,2)</f>
        <v>0</v>
      </c>
      <c r="M127" s="134"/>
      <c r="N127" s="135">
        <f>SUM(L127,M128:M129)</f>
        <v>0</v>
      </c>
      <c r="O127" s="115">
        <f t="shared" si="3"/>
        <v>353</v>
      </c>
      <c r="P127" s="174">
        <f>ROUND(O127/36,2)</f>
        <v>9.81</v>
      </c>
      <c r="Q127" s="175" t="s">
        <v>44</v>
      </c>
      <c r="R127" s="176">
        <f>SUM(P127,Q128:Q129)</f>
        <v>9.81</v>
      </c>
    </row>
    <row r="128" spans="1:18" x14ac:dyDescent="0.5">
      <c r="A128" s="56"/>
      <c r="B128" s="33" t="s">
        <v>42</v>
      </c>
      <c r="C128" s="195"/>
      <c r="D128" s="134">
        <f>ROUND(C128/12,2)</f>
        <v>0</v>
      </c>
      <c r="E128" s="134">
        <f>D128*2</f>
        <v>0</v>
      </c>
      <c r="F128" s="135"/>
      <c r="G128" s="76"/>
      <c r="H128" s="134">
        <f>ROUND(G128/12,2)</f>
        <v>0</v>
      </c>
      <c r="I128" s="134">
        <f>H128*2</f>
        <v>0</v>
      </c>
      <c r="J128" s="135"/>
      <c r="K128" s="106"/>
      <c r="L128" s="134">
        <f>ROUND(K128/12,2)</f>
        <v>0</v>
      </c>
      <c r="M128" s="134">
        <f>L128*2</f>
        <v>0</v>
      </c>
      <c r="N128" s="135"/>
      <c r="O128" s="115">
        <f t="shared" si="3"/>
        <v>0</v>
      </c>
      <c r="P128" s="174">
        <f>ROUND(O128/24,2)</f>
        <v>0</v>
      </c>
      <c r="Q128" s="175">
        <f>P128*2</f>
        <v>0</v>
      </c>
      <c r="R128" s="176">
        <v>0</v>
      </c>
    </row>
    <row r="129" spans="1:18" x14ac:dyDescent="0.5">
      <c r="A129" s="56"/>
      <c r="B129" s="33" t="s">
        <v>43</v>
      </c>
      <c r="C129" s="195"/>
      <c r="D129" s="134">
        <f>ROUND(C129/12,2)</f>
        <v>0</v>
      </c>
      <c r="E129" s="134">
        <f>D129*2</f>
        <v>0</v>
      </c>
      <c r="F129" s="135"/>
      <c r="G129" s="76"/>
      <c r="H129" s="134">
        <f>ROUND(G129/12,2)</f>
        <v>0</v>
      </c>
      <c r="I129" s="134">
        <f>H129*2</f>
        <v>0</v>
      </c>
      <c r="J129" s="135"/>
      <c r="K129" s="106"/>
      <c r="L129" s="134">
        <f>ROUND(K129/12,2)</f>
        <v>0</v>
      </c>
      <c r="M129" s="134">
        <f>L129*2</f>
        <v>0</v>
      </c>
      <c r="N129" s="135"/>
      <c r="O129" s="119">
        <f t="shared" si="3"/>
        <v>0</v>
      </c>
      <c r="P129" s="174">
        <f>ROUND(O129/24,2)</f>
        <v>0</v>
      </c>
      <c r="Q129" s="175">
        <f>P129*2</f>
        <v>0</v>
      </c>
      <c r="R129" s="176">
        <v>0</v>
      </c>
    </row>
    <row r="130" spans="1:18" x14ac:dyDescent="0.5">
      <c r="A130" s="55" t="s">
        <v>62</v>
      </c>
      <c r="B130" s="33" t="s">
        <v>3</v>
      </c>
      <c r="C130" s="195">
        <f>96</f>
        <v>96</v>
      </c>
      <c r="D130" s="134">
        <f>ROUND(C130/18,2)</f>
        <v>5.33</v>
      </c>
      <c r="E130" s="134"/>
      <c r="F130" s="135">
        <f>SUM(D130,E131:E132)</f>
        <v>5.33</v>
      </c>
      <c r="G130" s="76">
        <f>213</f>
        <v>213</v>
      </c>
      <c r="H130" s="134">
        <f>ROUND(G130/18,2)</f>
        <v>11.83</v>
      </c>
      <c r="I130" s="134"/>
      <c r="J130" s="135">
        <f>SUM(H130,I131:I132)</f>
        <v>11.83</v>
      </c>
      <c r="K130" s="106">
        <f>2</f>
        <v>2</v>
      </c>
      <c r="L130" s="134">
        <f>ROUND(K130/18,2)</f>
        <v>0.11</v>
      </c>
      <c r="M130" s="134"/>
      <c r="N130" s="135">
        <f>SUM(L130,M131:M132)</f>
        <v>0.11</v>
      </c>
      <c r="O130" s="115">
        <f t="shared" si="3"/>
        <v>311</v>
      </c>
      <c r="P130" s="174">
        <f>ROUND(O130/36,2)</f>
        <v>8.64</v>
      </c>
      <c r="Q130" s="175" t="s">
        <v>44</v>
      </c>
      <c r="R130" s="176">
        <f>SUM(P130,Q131:Q132)</f>
        <v>8.64</v>
      </c>
    </row>
    <row r="131" spans="1:18" x14ac:dyDescent="0.5">
      <c r="A131" s="56"/>
      <c r="B131" s="33" t="s">
        <v>42</v>
      </c>
      <c r="C131" s="195"/>
      <c r="D131" s="134">
        <f>ROUND(C131/12,2)</f>
        <v>0</v>
      </c>
      <c r="E131" s="134">
        <f>D131*2</f>
        <v>0</v>
      </c>
      <c r="F131" s="135"/>
      <c r="G131" s="76"/>
      <c r="H131" s="134">
        <f>ROUND(G131/12,2)</f>
        <v>0</v>
      </c>
      <c r="I131" s="134">
        <f>H131*2</f>
        <v>0</v>
      </c>
      <c r="J131" s="135"/>
      <c r="K131" s="106"/>
      <c r="L131" s="134">
        <f>ROUND(K131/12,2)</f>
        <v>0</v>
      </c>
      <c r="M131" s="134">
        <f>L131*2</f>
        <v>0</v>
      </c>
      <c r="N131" s="135"/>
      <c r="O131" s="115">
        <f t="shared" si="3"/>
        <v>0</v>
      </c>
      <c r="P131" s="174">
        <f>ROUND(O131/24,2)</f>
        <v>0</v>
      </c>
      <c r="Q131" s="175">
        <f>P131*2</f>
        <v>0</v>
      </c>
      <c r="R131" s="176">
        <v>0</v>
      </c>
    </row>
    <row r="132" spans="1:18" x14ac:dyDescent="0.5">
      <c r="A132" s="56"/>
      <c r="B132" s="33" t="s">
        <v>43</v>
      </c>
      <c r="C132" s="195"/>
      <c r="D132" s="134">
        <f>ROUND(C132/12,2)</f>
        <v>0</v>
      </c>
      <c r="E132" s="134">
        <f>D132*2</f>
        <v>0</v>
      </c>
      <c r="F132" s="135"/>
      <c r="G132" s="76"/>
      <c r="H132" s="134">
        <f>ROUND(G132/12,2)</f>
        <v>0</v>
      </c>
      <c r="I132" s="134">
        <f>H132*2</f>
        <v>0</v>
      </c>
      <c r="J132" s="135"/>
      <c r="K132" s="106"/>
      <c r="L132" s="134">
        <f>ROUND(K132/12,2)</f>
        <v>0</v>
      </c>
      <c r="M132" s="134">
        <f>L132*2</f>
        <v>0</v>
      </c>
      <c r="N132" s="135"/>
      <c r="O132" s="119">
        <f t="shared" si="3"/>
        <v>0</v>
      </c>
      <c r="P132" s="174">
        <f>ROUND(O132/24,2)</f>
        <v>0</v>
      </c>
      <c r="Q132" s="175">
        <f>P132*2</f>
        <v>0</v>
      </c>
      <c r="R132" s="176">
        <v>0</v>
      </c>
    </row>
    <row r="133" spans="1:18" x14ac:dyDescent="0.5">
      <c r="A133" s="55" t="s">
        <v>63</v>
      </c>
      <c r="B133" s="33" t="s">
        <v>3</v>
      </c>
      <c r="C133" s="195">
        <f>1292</f>
        <v>1292</v>
      </c>
      <c r="D133" s="134">
        <f>ROUND(C133/18,2)</f>
        <v>71.78</v>
      </c>
      <c r="E133" s="134"/>
      <c r="F133" s="135">
        <f>SUM(D133,E134:E135)</f>
        <v>102.44</v>
      </c>
      <c r="G133" s="76">
        <f>1375</f>
        <v>1375</v>
      </c>
      <c r="H133" s="134">
        <f>ROUND(G133/18,2)</f>
        <v>76.39</v>
      </c>
      <c r="I133" s="134"/>
      <c r="J133" s="135">
        <f>SUM(H133,I134:I135)</f>
        <v>125.39</v>
      </c>
      <c r="K133" s="106"/>
      <c r="L133" s="134">
        <f>ROUND(K133/18,2)</f>
        <v>0</v>
      </c>
      <c r="M133" s="134"/>
      <c r="N133" s="135">
        <f>SUM(L133,M134:M135)</f>
        <v>0</v>
      </c>
      <c r="O133" s="115">
        <f t="shared" si="3"/>
        <v>2667</v>
      </c>
      <c r="P133" s="174">
        <f>ROUND(O133/36,2)</f>
        <v>74.08</v>
      </c>
      <c r="Q133" s="175" t="s">
        <v>44</v>
      </c>
      <c r="R133" s="176">
        <f>SUM(P133,Q134:Q135)</f>
        <v>113.92</v>
      </c>
    </row>
    <row r="134" spans="1:18" x14ac:dyDescent="0.5">
      <c r="A134" s="56"/>
      <c r="B134" s="33" t="s">
        <v>42</v>
      </c>
      <c r="C134" s="195">
        <f>184</f>
        <v>184</v>
      </c>
      <c r="D134" s="134">
        <f>ROUND(C134/12,2)</f>
        <v>15.33</v>
      </c>
      <c r="E134" s="134">
        <f>D134*2</f>
        <v>30.66</v>
      </c>
      <c r="F134" s="135"/>
      <c r="G134" s="76">
        <f>294</f>
        <v>294</v>
      </c>
      <c r="H134" s="134">
        <f>ROUND(G134/12,2)</f>
        <v>24.5</v>
      </c>
      <c r="I134" s="134">
        <f>H134*2</f>
        <v>49</v>
      </c>
      <c r="J134" s="135"/>
      <c r="K134" s="106"/>
      <c r="L134" s="134">
        <f>ROUND(K134/12,2)</f>
        <v>0</v>
      </c>
      <c r="M134" s="134">
        <f>L134*2</f>
        <v>0</v>
      </c>
      <c r="N134" s="135"/>
      <c r="O134" s="115">
        <f t="shared" si="3"/>
        <v>478</v>
      </c>
      <c r="P134" s="174">
        <f>ROUND(O134/24,2)</f>
        <v>19.920000000000002</v>
      </c>
      <c r="Q134" s="175">
        <f>P134*2</f>
        <v>39.840000000000003</v>
      </c>
      <c r="R134" s="176">
        <v>0</v>
      </c>
    </row>
    <row r="135" spans="1:18" x14ac:dyDescent="0.5">
      <c r="A135" s="56"/>
      <c r="B135" s="33" t="s">
        <v>43</v>
      </c>
      <c r="C135" s="195"/>
      <c r="D135" s="134">
        <f>ROUND(C135/12,2)</f>
        <v>0</v>
      </c>
      <c r="E135" s="134">
        <f>D135*2</f>
        <v>0</v>
      </c>
      <c r="F135" s="135"/>
      <c r="G135" s="76"/>
      <c r="H135" s="134">
        <f>ROUND(G135/12,2)</f>
        <v>0</v>
      </c>
      <c r="I135" s="134">
        <f>H135*2</f>
        <v>0</v>
      </c>
      <c r="J135" s="135"/>
      <c r="K135" s="95"/>
      <c r="L135" s="134">
        <f>ROUND(K135/12,2)</f>
        <v>0</v>
      </c>
      <c r="M135" s="134">
        <f>L135*2</f>
        <v>0</v>
      </c>
      <c r="N135" s="135"/>
      <c r="O135" s="119">
        <f t="shared" si="3"/>
        <v>0</v>
      </c>
      <c r="P135" s="174">
        <f>ROUND(O135/24,2)</f>
        <v>0</v>
      </c>
      <c r="Q135" s="175">
        <f>P135*2</f>
        <v>0</v>
      </c>
      <c r="R135" s="176">
        <v>0</v>
      </c>
    </row>
    <row r="136" spans="1:18" x14ac:dyDescent="0.5">
      <c r="A136" s="55" t="s">
        <v>64</v>
      </c>
      <c r="B136" s="33" t="s">
        <v>3</v>
      </c>
      <c r="C136" s="195">
        <f>116</f>
        <v>116</v>
      </c>
      <c r="D136" s="134">
        <f>ROUND(C136/18,2)</f>
        <v>6.44</v>
      </c>
      <c r="E136" s="134"/>
      <c r="F136" s="135">
        <f>SUM(D136,E137:E138)</f>
        <v>6.44</v>
      </c>
      <c r="G136" s="76">
        <f>98</f>
        <v>98</v>
      </c>
      <c r="H136" s="134">
        <f>ROUND(G136/18,2)</f>
        <v>5.44</v>
      </c>
      <c r="I136" s="134"/>
      <c r="J136" s="135">
        <f>SUM(H136,I137:I138)</f>
        <v>5.44</v>
      </c>
      <c r="K136" s="106">
        <f>6</f>
        <v>6</v>
      </c>
      <c r="L136" s="134">
        <f>ROUND(K136/18,2)</f>
        <v>0.33</v>
      </c>
      <c r="M136" s="134"/>
      <c r="N136" s="135">
        <f>SUM(L136,M137:M138)</f>
        <v>0.33</v>
      </c>
      <c r="O136" s="115">
        <f t="shared" si="3"/>
        <v>220</v>
      </c>
      <c r="P136" s="174">
        <f>ROUND(O136/36,2)</f>
        <v>6.11</v>
      </c>
      <c r="Q136" s="175" t="s">
        <v>44</v>
      </c>
      <c r="R136" s="176">
        <f>SUM(P136,Q137:Q138)</f>
        <v>6.11</v>
      </c>
    </row>
    <row r="137" spans="1:18" x14ac:dyDescent="0.5">
      <c r="A137" s="56"/>
      <c r="B137" s="33" t="s">
        <v>42</v>
      </c>
      <c r="C137" s="195"/>
      <c r="D137" s="134">
        <f>ROUND(C137/12,2)</f>
        <v>0</v>
      </c>
      <c r="E137" s="134">
        <f>D137*2</f>
        <v>0</v>
      </c>
      <c r="F137" s="135"/>
      <c r="G137" s="76"/>
      <c r="H137" s="134">
        <f>ROUND(G137/12,2)</f>
        <v>0</v>
      </c>
      <c r="I137" s="134">
        <f>H137*2</f>
        <v>0</v>
      </c>
      <c r="J137" s="135"/>
      <c r="K137" s="106"/>
      <c r="L137" s="134">
        <f>ROUND(K137/12,2)</f>
        <v>0</v>
      </c>
      <c r="M137" s="134">
        <f>L137*2</f>
        <v>0</v>
      </c>
      <c r="N137" s="135"/>
      <c r="O137" s="115">
        <f t="shared" si="3"/>
        <v>0</v>
      </c>
      <c r="P137" s="174">
        <f>ROUND(O137/24,2)</f>
        <v>0</v>
      </c>
      <c r="Q137" s="175">
        <f>P137*2</f>
        <v>0</v>
      </c>
      <c r="R137" s="176">
        <v>0</v>
      </c>
    </row>
    <row r="138" spans="1:18" x14ac:dyDescent="0.5">
      <c r="A138" s="56"/>
      <c r="B138" s="33" t="s">
        <v>43</v>
      </c>
      <c r="C138" s="195"/>
      <c r="D138" s="134">
        <f>ROUND(C138/12,2)</f>
        <v>0</v>
      </c>
      <c r="E138" s="134">
        <f>D138*2</f>
        <v>0</v>
      </c>
      <c r="F138" s="135"/>
      <c r="G138" s="76"/>
      <c r="H138" s="134">
        <f>ROUND(G138/12,2)</f>
        <v>0</v>
      </c>
      <c r="I138" s="134">
        <f>H138*2</f>
        <v>0</v>
      </c>
      <c r="J138" s="135"/>
      <c r="K138" s="95"/>
      <c r="L138" s="134">
        <f>ROUND(K138/12,2)</f>
        <v>0</v>
      </c>
      <c r="M138" s="134">
        <f>L138*2</f>
        <v>0</v>
      </c>
      <c r="N138" s="135"/>
      <c r="O138" s="119">
        <f t="shared" si="3"/>
        <v>0</v>
      </c>
      <c r="P138" s="174">
        <f>ROUND(O138/24,2)</f>
        <v>0</v>
      </c>
      <c r="Q138" s="175">
        <f>P138*2</f>
        <v>0</v>
      </c>
      <c r="R138" s="176">
        <v>0</v>
      </c>
    </row>
    <row r="139" spans="1:18" x14ac:dyDescent="0.5">
      <c r="A139" s="55" t="s">
        <v>65</v>
      </c>
      <c r="B139" s="33" t="s">
        <v>3</v>
      </c>
      <c r="C139" s="195">
        <f>2008</f>
        <v>2008</v>
      </c>
      <c r="D139" s="134">
        <f>ROUND(C139/18,2)</f>
        <v>111.56</v>
      </c>
      <c r="E139" s="134"/>
      <c r="F139" s="135">
        <f>SUM(D139,E140:E141)</f>
        <v>123.22</v>
      </c>
      <c r="G139" s="76">
        <f>2162</f>
        <v>2162</v>
      </c>
      <c r="H139" s="134">
        <f>ROUND(G139/18,2)</f>
        <v>120.11</v>
      </c>
      <c r="I139" s="134"/>
      <c r="J139" s="135">
        <f>SUM(H139,I140:I141)</f>
        <v>144.61000000000001</v>
      </c>
      <c r="K139" s="106">
        <f>138</f>
        <v>138</v>
      </c>
      <c r="L139" s="134">
        <f>ROUND(K139/18,2)</f>
        <v>7.67</v>
      </c>
      <c r="M139" s="134"/>
      <c r="N139" s="135">
        <f>SUM(L139,M140:M141)</f>
        <v>7.67</v>
      </c>
      <c r="O139" s="115">
        <f t="shared" si="3"/>
        <v>4308</v>
      </c>
      <c r="P139" s="174">
        <f>ROUND(O139/36,2)</f>
        <v>119.67</v>
      </c>
      <c r="Q139" s="175" t="s">
        <v>44</v>
      </c>
      <c r="R139" s="176">
        <f>SUM(P139,Q140:Q141)</f>
        <v>137.75</v>
      </c>
    </row>
    <row r="140" spans="1:18" x14ac:dyDescent="0.5">
      <c r="A140" s="56"/>
      <c r="B140" s="33" t="s">
        <v>42</v>
      </c>
      <c r="C140" s="195">
        <f>70</f>
        <v>70</v>
      </c>
      <c r="D140" s="134">
        <f>ROUND(C140/12,2)</f>
        <v>5.83</v>
      </c>
      <c r="E140" s="134">
        <f>D140*2</f>
        <v>11.66</v>
      </c>
      <c r="F140" s="135"/>
      <c r="G140" s="76">
        <f>147</f>
        <v>147</v>
      </c>
      <c r="H140" s="134">
        <f>ROUND(G140/12,2)</f>
        <v>12.25</v>
      </c>
      <c r="I140" s="134">
        <f>H140*2</f>
        <v>24.5</v>
      </c>
      <c r="J140" s="135"/>
      <c r="K140" s="106"/>
      <c r="L140" s="134">
        <f>ROUND(K140/12,2)</f>
        <v>0</v>
      </c>
      <c r="M140" s="134">
        <f>L140*2</f>
        <v>0</v>
      </c>
      <c r="N140" s="135"/>
      <c r="O140" s="115">
        <f t="shared" si="3"/>
        <v>217</v>
      </c>
      <c r="P140" s="174">
        <f>ROUND(O140/24,2)</f>
        <v>9.0399999999999991</v>
      </c>
      <c r="Q140" s="175">
        <f>P140*2</f>
        <v>18.079999999999998</v>
      </c>
      <c r="R140" s="176">
        <v>0</v>
      </c>
    </row>
    <row r="141" spans="1:18" x14ac:dyDescent="0.5">
      <c r="A141" s="56"/>
      <c r="B141" s="33" t="s">
        <v>43</v>
      </c>
      <c r="C141" s="195"/>
      <c r="D141" s="134">
        <f>ROUND(C141/12,2)</f>
        <v>0</v>
      </c>
      <c r="E141" s="134">
        <f>D141*2</f>
        <v>0</v>
      </c>
      <c r="F141" s="135"/>
      <c r="G141" s="76"/>
      <c r="H141" s="134">
        <f>ROUND(G141/12,2)</f>
        <v>0</v>
      </c>
      <c r="I141" s="134">
        <f>H141*2</f>
        <v>0</v>
      </c>
      <c r="J141" s="135"/>
      <c r="K141" s="95"/>
      <c r="L141" s="134">
        <f>ROUND(K141/12,2)</f>
        <v>0</v>
      </c>
      <c r="M141" s="134">
        <f>L141*2</f>
        <v>0</v>
      </c>
      <c r="N141" s="135"/>
      <c r="O141" s="119">
        <f t="shared" si="3"/>
        <v>0</v>
      </c>
      <c r="P141" s="174">
        <f>ROUND(O141/24,2)</f>
        <v>0</v>
      </c>
      <c r="Q141" s="175">
        <f>P141*2</f>
        <v>0</v>
      </c>
      <c r="R141" s="176">
        <v>0</v>
      </c>
    </row>
    <row r="142" spans="1:18" x14ac:dyDescent="0.5">
      <c r="A142" s="55" t="s">
        <v>66</v>
      </c>
      <c r="B142" s="33" t="s">
        <v>3</v>
      </c>
      <c r="C142" s="195">
        <f>3178</f>
        <v>3178</v>
      </c>
      <c r="D142" s="134">
        <f>ROUND(C142/18,2)</f>
        <v>176.56</v>
      </c>
      <c r="E142" s="134"/>
      <c r="F142" s="135">
        <f>SUM(D142,E143:E144)</f>
        <v>176.56</v>
      </c>
      <c r="G142" s="76">
        <f>2354</f>
        <v>2354</v>
      </c>
      <c r="H142" s="134">
        <f>ROUND(G142/18,2)</f>
        <v>130.78</v>
      </c>
      <c r="I142" s="134"/>
      <c r="J142" s="135">
        <f>SUM(H142,I143:I144)</f>
        <v>130.78</v>
      </c>
      <c r="K142" s="106"/>
      <c r="L142" s="134">
        <f>ROUND(K142/18,2)</f>
        <v>0</v>
      </c>
      <c r="M142" s="134"/>
      <c r="N142" s="135">
        <f>SUM(L142,M143:M144)</f>
        <v>0</v>
      </c>
      <c r="O142" s="115">
        <f t="shared" si="3"/>
        <v>5532</v>
      </c>
      <c r="P142" s="174">
        <f>ROUND(O142/36,2)</f>
        <v>153.66999999999999</v>
      </c>
      <c r="Q142" s="175" t="s">
        <v>44</v>
      </c>
      <c r="R142" s="176">
        <f>SUM(P142,Q143:Q144)</f>
        <v>153.66999999999999</v>
      </c>
    </row>
    <row r="143" spans="1:18" x14ac:dyDescent="0.5">
      <c r="A143" s="56"/>
      <c r="B143" s="33" t="s">
        <v>42</v>
      </c>
      <c r="C143" s="195"/>
      <c r="D143" s="134">
        <f>ROUND(C143/12,2)</f>
        <v>0</v>
      </c>
      <c r="E143" s="134">
        <f>D143*2</f>
        <v>0</v>
      </c>
      <c r="F143" s="135"/>
      <c r="G143" s="76"/>
      <c r="H143" s="134">
        <f>ROUND(G143/12,2)</f>
        <v>0</v>
      </c>
      <c r="I143" s="134">
        <f>H143*2</f>
        <v>0</v>
      </c>
      <c r="J143" s="135"/>
      <c r="K143" s="106"/>
      <c r="L143" s="134">
        <f>ROUND(K143/12,2)</f>
        <v>0</v>
      </c>
      <c r="M143" s="134">
        <f>L143*2</f>
        <v>0</v>
      </c>
      <c r="N143" s="135"/>
      <c r="O143" s="115">
        <f t="shared" si="3"/>
        <v>0</v>
      </c>
      <c r="P143" s="174">
        <f>ROUND(O143/24,2)</f>
        <v>0</v>
      </c>
      <c r="Q143" s="175">
        <f>P143*2</f>
        <v>0</v>
      </c>
      <c r="R143" s="176">
        <v>0</v>
      </c>
    </row>
    <row r="144" spans="1:18" x14ac:dyDescent="0.5">
      <c r="A144" s="56"/>
      <c r="B144" s="33" t="s">
        <v>43</v>
      </c>
      <c r="C144" s="195"/>
      <c r="D144" s="134">
        <f>ROUND(C144/12,2)</f>
        <v>0</v>
      </c>
      <c r="E144" s="134">
        <f>D144*2</f>
        <v>0</v>
      </c>
      <c r="F144" s="135"/>
      <c r="G144" s="76"/>
      <c r="H144" s="134">
        <f>ROUND(G144/12,2)</f>
        <v>0</v>
      </c>
      <c r="I144" s="134">
        <f>H144*2</f>
        <v>0</v>
      </c>
      <c r="J144" s="135"/>
      <c r="K144" s="106"/>
      <c r="L144" s="134">
        <f>ROUND(K144/12,2)</f>
        <v>0</v>
      </c>
      <c r="M144" s="134">
        <f>L144*2</f>
        <v>0</v>
      </c>
      <c r="N144" s="135"/>
      <c r="O144" s="119">
        <f t="shared" si="3"/>
        <v>0</v>
      </c>
      <c r="P144" s="174">
        <f>ROUND(O144/24,2)</f>
        <v>0</v>
      </c>
      <c r="Q144" s="175">
        <f>P144*2</f>
        <v>0</v>
      </c>
      <c r="R144" s="176">
        <v>0</v>
      </c>
    </row>
    <row r="145" spans="1:18" x14ac:dyDescent="0.5">
      <c r="A145" s="55" t="s">
        <v>67</v>
      </c>
      <c r="B145" s="33" t="s">
        <v>3</v>
      </c>
      <c r="C145" s="195">
        <f>102</f>
        <v>102</v>
      </c>
      <c r="D145" s="134">
        <f>ROUND(C145/18,2)</f>
        <v>5.67</v>
      </c>
      <c r="E145" s="134"/>
      <c r="F145" s="135">
        <f>SUM(D145,E146:E147)</f>
        <v>32.67</v>
      </c>
      <c r="G145" s="76"/>
      <c r="H145" s="134">
        <f>ROUND(G145/18,2)</f>
        <v>0</v>
      </c>
      <c r="I145" s="134"/>
      <c r="J145" s="135">
        <f>SUM(H145,I146:I147)</f>
        <v>0</v>
      </c>
      <c r="K145" s="106"/>
      <c r="L145" s="134">
        <f>ROUND(K145/18,2)</f>
        <v>0</v>
      </c>
      <c r="M145" s="134"/>
      <c r="N145" s="135">
        <f>SUM(L145,M146:M147)</f>
        <v>0</v>
      </c>
      <c r="O145" s="115">
        <f t="shared" si="3"/>
        <v>102</v>
      </c>
      <c r="P145" s="174">
        <f>ROUND(O145/36,2)</f>
        <v>2.83</v>
      </c>
      <c r="Q145" s="175" t="s">
        <v>44</v>
      </c>
      <c r="R145" s="176">
        <f>SUM(P145,Q146:Q147)</f>
        <v>16.329999999999998</v>
      </c>
    </row>
    <row r="146" spans="1:18" x14ac:dyDescent="0.5">
      <c r="A146" s="56"/>
      <c r="B146" s="33" t="s">
        <v>42</v>
      </c>
      <c r="C146" s="195">
        <f>162</f>
        <v>162</v>
      </c>
      <c r="D146" s="134">
        <f>ROUND(C146/12,2)</f>
        <v>13.5</v>
      </c>
      <c r="E146" s="134">
        <f>D146*2</f>
        <v>27</v>
      </c>
      <c r="F146" s="135"/>
      <c r="G146" s="76"/>
      <c r="H146" s="134">
        <f>ROUND(G146/12,2)</f>
        <v>0</v>
      </c>
      <c r="I146" s="134">
        <f>H146*2</f>
        <v>0</v>
      </c>
      <c r="J146" s="135"/>
      <c r="K146" s="106"/>
      <c r="L146" s="134">
        <f>ROUND(K146/12,2)</f>
        <v>0</v>
      </c>
      <c r="M146" s="134">
        <f>L146*2</f>
        <v>0</v>
      </c>
      <c r="N146" s="135"/>
      <c r="O146" s="115">
        <f t="shared" si="3"/>
        <v>162</v>
      </c>
      <c r="P146" s="174">
        <f>ROUND(O146/24,2)</f>
        <v>6.75</v>
      </c>
      <c r="Q146" s="175">
        <f>P146*2</f>
        <v>13.5</v>
      </c>
      <c r="R146" s="176">
        <v>0</v>
      </c>
    </row>
    <row r="147" spans="1:18" x14ac:dyDescent="0.5">
      <c r="A147" s="56"/>
      <c r="B147" s="33" t="s">
        <v>43</v>
      </c>
      <c r="C147" s="195"/>
      <c r="D147" s="134">
        <f>ROUND(C147/12,2)</f>
        <v>0</v>
      </c>
      <c r="E147" s="134">
        <f>D147*2</f>
        <v>0</v>
      </c>
      <c r="F147" s="135"/>
      <c r="G147" s="76"/>
      <c r="H147" s="134">
        <f>ROUND(G147/12,2)</f>
        <v>0</v>
      </c>
      <c r="I147" s="134">
        <f>H147*2</f>
        <v>0</v>
      </c>
      <c r="J147" s="135"/>
      <c r="K147" s="106"/>
      <c r="L147" s="134">
        <f>ROUND(K147/12,2)</f>
        <v>0</v>
      </c>
      <c r="M147" s="134">
        <f>L147*2</f>
        <v>0</v>
      </c>
      <c r="N147" s="135"/>
      <c r="O147" s="119">
        <f t="shared" si="3"/>
        <v>0</v>
      </c>
      <c r="P147" s="174">
        <f>ROUND(O147/24,2)</f>
        <v>0</v>
      </c>
      <c r="Q147" s="175">
        <f>P147*2</f>
        <v>0</v>
      </c>
      <c r="R147" s="176">
        <v>0</v>
      </c>
    </row>
    <row r="148" spans="1:18" x14ac:dyDescent="0.5">
      <c r="A148" s="55" t="s">
        <v>68</v>
      </c>
      <c r="B148" s="33" t="s">
        <v>3</v>
      </c>
      <c r="C148" s="195">
        <f>617</f>
        <v>617</v>
      </c>
      <c r="D148" s="134">
        <f>ROUND(C148/18,2)</f>
        <v>34.28</v>
      </c>
      <c r="E148" s="134"/>
      <c r="F148" s="135">
        <f>SUM(D148,E149:E150)</f>
        <v>34.28</v>
      </c>
      <c r="G148" s="76">
        <f>166</f>
        <v>166</v>
      </c>
      <c r="H148" s="134">
        <f>ROUND(G148/18,2)</f>
        <v>9.2200000000000006</v>
      </c>
      <c r="I148" s="134"/>
      <c r="J148" s="135">
        <f>SUM(H148,I149:I150)</f>
        <v>9.2200000000000006</v>
      </c>
      <c r="K148" s="106"/>
      <c r="L148" s="134">
        <f>ROUND(K148/18,2)</f>
        <v>0</v>
      </c>
      <c r="M148" s="134"/>
      <c r="N148" s="135">
        <f>SUM(L148,M149:M150)</f>
        <v>0</v>
      </c>
      <c r="O148" s="115">
        <f t="shared" si="3"/>
        <v>783</v>
      </c>
      <c r="P148" s="174">
        <f>ROUND(O148/36,2)</f>
        <v>21.75</v>
      </c>
      <c r="Q148" s="175" t="s">
        <v>44</v>
      </c>
      <c r="R148" s="176">
        <f>SUM(P148,Q149:Q150)</f>
        <v>21.75</v>
      </c>
    </row>
    <row r="149" spans="1:18" x14ac:dyDescent="0.5">
      <c r="A149" s="56"/>
      <c r="B149" s="33" t="s">
        <v>42</v>
      </c>
      <c r="C149" s="195"/>
      <c r="D149" s="134">
        <f>ROUND(C149/12,2)</f>
        <v>0</v>
      </c>
      <c r="E149" s="134">
        <f>D149*2</f>
        <v>0</v>
      </c>
      <c r="F149" s="135"/>
      <c r="G149" s="95"/>
      <c r="H149" s="134">
        <f>ROUND(G149/12,2)</f>
        <v>0</v>
      </c>
      <c r="I149" s="134">
        <f>H149*2</f>
        <v>0</v>
      </c>
      <c r="J149" s="135"/>
      <c r="K149" s="106"/>
      <c r="L149" s="134">
        <f>ROUND(K149/12,2)</f>
        <v>0</v>
      </c>
      <c r="M149" s="134">
        <f>L149*2</f>
        <v>0</v>
      </c>
      <c r="N149" s="135"/>
      <c r="O149" s="115">
        <f t="shared" si="3"/>
        <v>0</v>
      </c>
      <c r="P149" s="174">
        <f>ROUND(O149/24,2)</f>
        <v>0</v>
      </c>
      <c r="Q149" s="175">
        <f>P149*2</f>
        <v>0</v>
      </c>
      <c r="R149" s="176">
        <v>0</v>
      </c>
    </row>
    <row r="150" spans="1:18" x14ac:dyDescent="0.5">
      <c r="A150" s="56"/>
      <c r="B150" s="33" t="s">
        <v>43</v>
      </c>
      <c r="C150" s="195"/>
      <c r="D150" s="134">
        <f>ROUND(C150/12,2)</f>
        <v>0</v>
      </c>
      <c r="E150" s="134">
        <f>D150*2</f>
        <v>0</v>
      </c>
      <c r="F150" s="135"/>
      <c r="G150" s="95"/>
      <c r="H150" s="134">
        <f>ROUND(G150/12,2)</f>
        <v>0</v>
      </c>
      <c r="I150" s="134">
        <f>H150*2</f>
        <v>0</v>
      </c>
      <c r="J150" s="135"/>
      <c r="K150" s="95"/>
      <c r="L150" s="134">
        <f>ROUND(K150/12,2)</f>
        <v>0</v>
      </c>
      <c r="M150" s="134">
        <f>L150*2</f>
        <v>0</v>
      </c>
      <c r="N150" s="135"/>
      <c r="O150" s="119">
        <f t="shared" si="3"/>
        <v>0</v>
      </c>
      <c r="P150" s="174">
        <f>ROUND(O150/24,2)</f>
        <v>0</v>
      </c>
      <c r="Q150" s="175">
        <f>P150*2</f>
        <v>0</v>
      </c>
      <c r="R150" s="176">
        <v>0</v>
      </c>
    </row>
    <row r="151" spans="1:18" x14ac:dyDescent="0.5">
      <c r="A151" s="63" t="s">
        <v>56</v>
      </c>
      <c r="B151" s="38" t="s">
        <v>3</v>
      </c>
      <c r="C151" s="198">
        <f>SUM(C121,C124,C127,C130,C133,C136,C139,C142,C145,C148)</f>
        <v>15285</v>
      </c>
      <c r="D151" s="144">
        <f>ROUND(C151/18,2)</f>
        <v>849.17</v>
      </c>
      <c r="E151" s="140"/>
      <c r="F151" s="145">
        <f>SUM(D151,E152:E153)</f>
        <v>983.82999999999993</v>
      </c>
      <c r="G151" s="78">
        <f>SUM(G121,G124,G127,G130,G133,G136,G139,G142,G145,G148)</f>
        <v>12721</v>
      </c>
      <c r="H151" s="144">
        <f>ROUND(G151/18,2)</f>
        <v>706.72</v>
      </c>
      <c r="I151" s="140"/>
      <c r="J151" s="145">
        <f>SUM(H151,I152:I153)</f>
        <v>901.22</v>
      </c>
      <c r="K151" s="78">
        <f>SUM(K121,K124,K127,K130,K133,K136,K139,K142,K145,K148)</f>
        <v>3176</v>
      </c>
      <c r="L151" s="144">
        <f>ROUND(K151/18,2)</f>
        <v>176.44</v>
      </c>
      <c r="M151" s="140"/>
      <c r="N151" s="145">
        <f>SUM(L151,M152:M153)</f>
        <v>176.44</v>
      </c>
      <c r="O151" s="120">
        <f t="shared" si="3"/>
        <v>31182</v>
      </c>
      <c r="P151" s="184">
        <f>ROUND(O151/36,2)</f>
        <v>866.17</v>
      </c>
      <c r="Q151" s="185" t="s">
        <v>44</v>
      </c>
      <c r="R151" s="176">
        <f>SUM(P151,Q152:Q153)</f>
        <v>1030.75</v>
      </c>
    </row>
    <row r="152" spans="1:18" x14ac:dyDescent="0.5">
      <c r="A152" s="68"/>
      <c r="B152" s="38" t="s">
        <v>42</v>
      </c>
      <c r="C152" s="198">
        <f>SUM(C122,C125,C128,C131,C134,C137,C140,C143,C146,C149)</f>
        <v>808</v>
      </c>
      <c r="D152" s="140">
        <f>ROUND(C152/12,2)</f>
        <v>67.33</v>
      </c>
      <c r="E152" s="140">
        <f>D152*2</f>
        <v>134.66</v>
      </c>
      <c r="F152" s="141"/>
      <c r="G152" s="78">
        <f>SUM(G122,G125,G128,G131,G134,G137,G140,G143,G146,G149)</f>
        <v>1167</v>
      </c>
      <c r="H152" s="140">
        <f>ROUND(G152/12,2)</f>
        <v>97.25</v>
      </c>
      <c r="I152" s="140">
        <f>H152*2</f>
        <v>194.5</v>
      </c>
      <c r="J152" s="141"/>
      <c r="K152" s="78">
        <f>SUM(K122,K125,K128,K131,K134,K137,K140,K143,K146,K149)</f>
        <v>0</v>
      </c>
      <c r="L152" s="140">
        <f>ROUND(K152/12,2)</f>
        <v>0</v>
      </c>
      <c r="M152" s="140">
        <f>L152*2</f>
        <v>0</v>
      </c>
      <c r="N152" s="141"/>
      <c r="O152" s="120">
        <f t="shared" si="3"/>
        <v>1975</v>
      </c>
      <c r="P152" s="184">
        <f>ROUND(O152/24,2)</f>
        <v>82.29</v>
      </c>
      <c r="Q152" s="185">
        <f>P152*2</f>
        <v>164.58</v>
      </c>
      <c r="R152" s="176">
        <v>0</v>
      </c>
    </row>
    <row r="153" spans="1:18" ht="22.5" thickBot="1" x14ac:dyDescent="0.55000000000000004">
      <c r="A153" s="57"/>
      <c r="B153" s="39" t="s">
        <v>43</v>
      </c>
      <c r="C153" s="81">
        <f>SUM(C123,C126,C129,C132,C135,C138,C141,C144,C147,C150)</f>
        <v>0</v>
      </c>
      <c r="D153" s="142">
        <f>ROUND(C153/12,2)</f>
        <v>0</v>
      </c>
      <c r="E153" s="142">
        <f>D153*2</f>
        <v>0</v>
      </c>
      <c r="F153" s="143"/>
      <c r="G153" s="79">
        <f>SUM(G123,G126,G129,G132,G135,G138,G141,G144,G147,G150)</f>
        <v>0</v>
      </c>
      <c r="H153" s="142">
        <f>ROUND(G153/12,2)</f>
        <v>0</v>
      </c>
      <c r="I153" s="142">
        <f>H153*2</f>
        <v>0</v>
      </c>
      <c r="J153" s="143"/>
      <c r="K153" s="79">
        <f>SUM(K123,K126,K129,K132,K135,K138,K141,K144,K147,K150)</f>
        <v>0</v>
      </c>
      <c r="L153" s="142">
        <f>ROUND(K153/12,2)</f>
        <v>0</v>
      </c>
      <c r="M153" s="142">
        <f>L153*2</f>
        <v>0</v>
      </c>
      <c r="N153" s="143"/>
      <c r="O153" s="121">
        <f t="shared" si="3"/>
        <v>0</v>
      </c>
      <c r="P153" s="186">
        <f>ROUND(O153/24,2)</f>
        <v>0</v>
      </c>
      <c r="Q153" s="187">
        <f>P153*2</f>
        <v>0</v>
      </c>
      <c r="R153" s="179">
        <v>0</v>
      </c>
    </row>
    <row r="154" spans="1:18" x14ac:dyDescent="0.5">
      <c r="A154" s="58" t="s">
        <v>15</v>
      </c>
      <c r="B154" s="40"/>
      <c r="C154" s="196"/>
      <c r="D154" s="138"/>
      <c r="E154" s="138"/>
      <c r="F154" s="139"/>
      <c r="G154" s="97"/>
      <c r="H154" s="138"/>
      <c r="I154" s="168"/>
      <c r="J154" s="139"/>
      <c r="K154" s="111"/>
      <c r="L154" s="138"/>
      <c r="M154" s="168"/>
      <c r="N154" s="139"/>
      <c r="O154" s="124"/>
      <c r="P154" s="183"/>
      <c r="Q154" s="183"/>
      <c r="R154" s="182"/>
    </row>
    <row r="155" spans="1:18" x14ac:dyDescent="0.5">
      <c r="A155" s="55" t="s">
        <v>41</v>
      </c>
      <c r="B155" s="33" t="s">
        <v>3</v>
      </c>
      <c r="C155" s="195">
        <f>3227</f>
        <v>3227</v>
      </c>
      <c r="D155" s="134">
        <f>ROUND(C155/18,2)</f>
        <v>179.28</v>
      </c>
      <c r="E155" s="134"/>
      <c r="F155" s="135">
        <f>SUM(D155,E156:E157)</f>
        <v>179.28</v>
      </c>
      <c r="G155" s="95">
        <f>2345</f>
        <v>2345</v>
      </c>
      <c r="H155" s="134">
        <f>ROUND(G155/18,2)</f>
        <v>130.28</v>
      </c>
      <c r="I155" s="134"/>
      <c r="J155" s="135">
        <f>SUM(H155,I156:I157)</f>
        <v>130.28</v>
      </c>
      <c r="K155" s="95">
        <f>1232</f>
        <v>1232</v>
      </c>
      <c r="L155" s="134">
        <f>ROUND(K155/18,2)</f>
        <v>68.44</v>
      </c>
      <c r="M155" s="134"/>
      <c r="N155" s="135">
        <f>SUM(L155,M156:M157)</f>
        <v>68.44</v>
      </c>
      <c r="O155" s="115">
        <f>SUM(C155,G155,K155)</f>
        <v>6804</v>
      </c>
      <c r="P155" s="174">
        <f>ROUND(O155/36,2)</f>
        <v>189</v>
      </c>
      <c r="Q155" s="175" t="s">
        <v>44</v>
      </c>
      <c r="R155" s="176">
        <f>SUM(P155,Q156:Q157)</f>
        <v>189</v>
      </c>
    </row>
    <row r="156" spans="1:18" x14ac:dyDescent="0.5">
      <c r="A156" s="56"/>
      <c r="B156" s="33" t="s">
        <v>42</v>
      </c>
      <c r="C156" s="195"/>
      <c r="D156" s="134">
        <f>ROUND(C156/12,2)</f>
        <v>0</v>
      </c>
      <c r="E156" s="134">
        <f>D156*1</f>
        <v>0</v>
      </c>
      <c r="F156" s="135"/>
      <c r="G156" s="95"/>
      <c r="H156" s="134">
        <f>ROUND(G156/12,2)</f>
        <v>0</v>
      </c>
      <c r="I156" s="169">
        <f>H156*1</f>
        <v>0</v>
      </c>
      <c r="J156" s="135"/>
      <c r="K156" s="106"/>
      <c r="L156" s="134">
        <f>ROUND(K156/12,2)</f>
        <v>0</v>
      </c>
      <c r="M156" s="169">
        <f t="shared" ref="M156:M157" si="4">L156*1</f>
        <v>0</v>
      </c>
      <c r="N156" s="135"/>
      <c r="O156" s="115">
        <f>SUM(C156,G156,K156)</f>
        <v>0</v>
      </c>
      <c r="P156" s="174">
        <f>ROUND(O156/24,2)</f>
        <v>0</v>
      </c>
      <c r="Q156" s="175">
        <f t="shared" ref="Q156:Q157" si="5">P156*1</f>
        <v>0</v>
      </c>
      <c r="R156" s="176">
        <v>0</v>
      </c>
    </row>
    <row r="157" spans="1:18" ht="22.5" thickBot="1" x14ac:dyDescent="0.55000000000000004">
      <c r="A157" s="57"/>
      <c r="B157" s="34" t="s">
        <v>43</v>
      </c>
      <c r="C157" s="80"/>
      <c r="D157" s="136">
        <f>ROUND(C157/12,2)</f>
        <v>0</v>
      </c>
      <c r="E157" s="136">
        <f>D157*1</f>
        <v>0</v>
      </c>
      <c r="F157" s="137"/>
      <c r="G157" s="96"/>
      <c r="H157" s="136">
        <f>ROUND(G157/12,2)</f>
        <v>0</v>
      </c>
      <c r="I157" s="170">
        <f>H157*1</f>
        <v>0</v>
      </c>
      <c r="J157" s="137"/>
      <c r="K157" s="109"/>
      <c r="L157" s="136">
        <f>ROUND(K157/12,2)</f>
        <v>0</v>
      </c>
      <c r="M157" s="170">
        <f t="shared" si="4"/>
        <v>0</v>
      </c>
      <c r="N157" s="137"/>
      <c r="O157" s="116">
        <f>SUM(C157,G157,K157)</f>
        <v>0</v>
      </c>
      <c r="P157" s="177">
        <f>ROUND(O157/24,2)</f>
        <v>0</v>
      </c>
      <c r="Q157" s="178">
        <f t="shared" si="5"/>
        <v>0</v>
      </c>
      <c r="R157" s="179">
        <v>0</v>
      </c>
    </row>
    <row r="158" spans="1:18" x14ac:dyDescent="0.5">
      <c r="A158" s="58" t="s">
        <v>16</v>
      </c>
      <c r="B158" s="36"/>
      <c r="C158" s="196"/>
      <c r="D158" s="138"/>
      <c r="E158" s="138"/>
      <c r="F158" s="139"/>
      <c r="G158" s="97"/>
      <c r="H158" s="138"/>
      <c r="I158" s="168"/>
      <c r="J158" s="139"/>
      <c r="K158" s="108"/>
      <c r="L158" s="138"/>
      <c r="M158" s="138"/>
      <c r="N158" s="139"/>
      <c r="O158" s="118"/>
      <c r="P158" s="183"/>
      <c r="Q158" s="181"/>
      <c r="R158" s="182"/>
    </row>
    <row r="159" spans="1:18" x14ac:dyDescent="0.5">
      <c r="A159" s="55" t="s">
        <v>69</v>
      </c>
      <c r="B159" s="33" t="s">
        <v>3</v>
      </c>
      <c r="C159" s="195">
        <f>255+2500</f>
        <v>2755</v>
      </c>
      <c r="D159" s="134">
        <f>ROUND(C159/18,2)</f>
        <v>153.06</v>
      </c>
      <c r="E159" s="134"/>
      <c r="F159" s="135">
        <f>SUM(D159,E160:E161)</f>
        <v>209.56</v>
      </c>
      <c r="G159" s="76">
        <f>93+2042</f>
        <v>2135</v>
      </c>
      <c r="H159" s="134">
        <f>ROUND(G159/18,2)</f>
        <v>118.61</v>
      </c>
      <c r="I159" s="134"/>
      <c r="J159" s="135">
        <f>SUM(H159,I160:I161)</f>
        <v>164.61</v>
      </c>
      <c r="K159" s="106">
        <f>20+1674</f>
        <v>1694</v>
      </c>
      <c r="L159" s="134">
        <f>ROUND(K159/18,2)</f>
        <v>94.11</v>
      </c>
      <c r="M159" s="134"/>
      <c r="N159" s="135">
        <f>SUM(L159,M160:M161)</f>
        <v>94.11</v>
      </c>
      <c r="O159" s="115">
        <f t="shared" ref="O159:O179" si="6">SUM(C159,G159,K159)</f>
        <v>6584</v>
      </c>
      <c r="P159" s="174">
        <f>ROUND(O159/36,2)</f>
        <v>182.89</v>
      </c>
      <c r="Q159" s="175" t="s">
        <v>44</v>
      </c>
      <c r="R159" s="176">
        <f>SUM(P159,Q160:Q161)</f>
        <v>234.14999999999998</v>
      </c>
    </row>
    <row r="160" spans="1:18" x14ac:dyDescent="0.5">
      <c r="A160" s="56"/>
      <c r="B160" s="33" t="s">
        <v>42</v>
      </c>
      <c r="C160" s="195">
        <f>60+279</f>
        <v>339</v>
      </c>
      <c r="D160" s="134">
        <f>ROUND(C160/12,2)</f>
        <v>28.25</v>
      </c>
      <c r="E160" s="134">
        <f>D160*2</f>
        <v>56.5</v>
      </c>
      <c r="F160" s="135"/>
      <c r="G160" s="76">
        <f>33+243</f>
        <v>276</v>
      </c>
      <c r="H160" s="134">
        <f>ROUND(G160/12,2)</f>
        <v>23</v>
      </c>
      <c r="I160" s="134">
        <f>H160*2</f>
        <v>46</v>
      </c>
      <c r="J160" s="135"/>
      <c r="K160" s="95"/>
      <c r="L160" s="134">
        <f>ROUND(K160/12,2)</f>
        <v>0</v>
      </c>
      <c r="M160" s="134">
        <f>L160*2</f>
        <v>0</v>
      </c>
      <c r="N160" s="135"/>
      <c r="O160" s="115">
        <f t="shared" si="6"/>
        <v>615</v>
      </c>
      <c r="P160" s="174">
        <f>ROUND(O160/24,2)</f>
        <v>25.63</v>
      </c>
      <c r="Q160" s="175">
        <f>P160*2</f>
        <v>51.26</v>
      </c>
      <c r="R160" s="176">
        <v>0</v>
      </c>
    </row>
    <row r="161" spans="1:18" x14ac:dyDescent="0.5">
      <c r="A161" s="56"/>
      <c r="B161" s="33" t="s">
        <v>43</v>
      </c>
      <c r="C161" s="195"/>
      <c r="D161" s="134">
        <f>ROUND(C161/12,2)</f>
        <v>0</v>
      </c>
      <c r="E161" s="134">
        <f>D161*2</f>
        <v>0</v>
      </c>
      <c r="F161" s="135"/>
      <c r="G161" s="76"/>
      <c r="H161" s="134">
        <f>ROUND(G161/12,2)</f>
        <v>0</v>
      </c>
      <c r="I161" s="134">
        <f>H161*2</f>
        <v>0</v>
      </c>
      <c r="J161" s="135"/>
      <c r="K161" s="95"/>
      <c r="L161" s="134">
        <f>ROUND(K161/12,2)</f>
        <v>0</v>
      </c>
      <c r="M161" s="134">
        <f>L161*2</f>
        <v>0</v>
      </c>
      <c r="N161" s="135"/>
      <c r="O161" s="119">
        <f t="shared" si="6"/>
        <v>0</v>
      </c>
      <c r="P161" s="174">
        <f>ROUND(O161/24,2)</f>
        <v>0</v>
      </c>
      <c r="Q161" s="175">
        <f>P161*2</f>
        <v>0</v>
      </c>
      <c r="R161" s="176">
        <v>0</v>
      </c>
    </row>
    <row r="162" spans="1:18" x14ac:dyDescent="0.5">
      <c r="A162" s="55" t="s">
        <v>70</v>
      </c>
      <c r="B162" s="33" t="s">
        <v>3</v>
      </c>
      <c r="C162" s="195">
        <f>1975</f>
        <v>1975</v>
      </c>
      <c r="D162" s="134">
        <f>ROUND(C162/18,2)</f>
        <v>109.72</v>
      </c>
      <c r="E162" s="134"/>
      <c r="F162" s="135">
        <f>SUM(D162,E163:E164)</f>
        <v>113.38</v>
      </c>
      <c r="G162" s="76">
        <f>885</f>
        <v>885</v>
      </c>
      <c r="H162" s="134">
        <f>ROUND(G162/18,2)</f>
        <v>49.17</v>
      </c>
      <c r="I162" s="134"/>
      <c r="J162" s="135">
        <f>SUM(H162,I163:I164)</f>
        <v>52.83</v>
      </c>
      <c r="K162" s="106">
        <f>13</f>
        <v>13</v>
      </c>
      <c r="L162" s="134">
        <f>ROUND(K162/18,2)</f>
        <v>0.72</v>
      </c>
      <c r="M162" s="134"/>
      <c r="N162" s="135">
        <f>SUM(L162,M163:M164)</f>
        <v>0.72</v>
      </c>
      <c r="O162" s="115">
        <f t="shared" si="6"/>
        <v>2873</v>
      </c>
      <c r="P162" s="174">
        <f>ROUND(O162/36,2)</f>
        <v>79.81</v>
      </c>
      <c r="Q162" s="175" t="s">
        <v>44</v>
      </c>
      <c r="R162" s="176">
        <f>SUM(P162,Q163:Q164)</f>
        <v>83.47</v>
      </c>
    </row>
    <row r="163" spans="1:18" x14ac:dyDescent="0.5">
      <c r="A163" s="56"/>
      <c r="B163" s="33" t="s">
        <v>42</v>
      </c>
      <c r="C163" s="195">
        <f>22</f>
        <v>22</v>
      </c>
      <c r="D163" s="134">
        <f>ROUND(C163/12,2)</f>
        <v>1.83</v>
      </c>
      <c r="E163" s="134">
        <f>D163*2</f>
        <v>3.66</v>
      </c>
      <c r="F163" s="135"/>
      <c r="G163" s="76">
        <f>22</f>
        <v>22</v>
      </c>
      <c r="H163" s="134">
        <f>ROUND(G163/12,2)</f>
        <v>1.83</v>
      </c>
      <c r="I163" s="134">
        <f>H163*2</f>
        <v>3.66</v>
      </c>
      <c r="J163" s="135"/>
      <c r="K163" s="106"/>
      <c r="L163" s="134">
        <f>ROUND(K163/12,2)</f>
        <v>0</v>
      </c>
      <c r="M163" s="134">
        <f>L163*2</f>
        <v>0</v>
      </c>
      <c r="N163" s="135"/>
      <c r="O163" s="115">
        <f t="shared" si="6"/>
        <v>44</v>
      </c>
      <c r="P163" s="174">
        <f>ROUND(O163/24,2)</f>
        <v>1.83</v>
      </c>
      <c r="Q163" s="175">
        <f>P163*2</f>
        <v>3.66</v>
      </c>
      <c r="R163" s="176">
        <v>0</v>
      </c>
    </row>
    <row r="164" spans="1:18" x14ac:dyDescent="0.5">
      <c r="A164" s="56"/>
      <c r="B164" s="33" t="s">
        <v>43</v>
      </c>
      <c r="C164" s="195"/>
      <c r="D164" s="134">
        <f>ROUND(C164/12,2)</f>
        <v>0</v>
      </c>
      <c r="E164" s="134">
        <f>D164*2</f>
        <v>0</v>
      </c>
      <c r="F164" s="135"/>
      <c r="G164" s="76"/>
      <c r="H164" s="134">
        <f>ROUND(G164/12,2)</f>
        <v>0</v>
      </c>
      <c r="I164" s="134">
        <f>H164*2</f>
        <v>0</v>
      </c>
      <c r="J164" s="135"/>
      <c r="K164" s="95"/>
      <c r="L164" s="134">
        <f>ROUND(K164/12,2)</f>
        <v>0</v>
      </c>
      <c r="M164" s="134">
        <f>L164*2</f>
        <v>0</v>
      </c>
      <c r="N164" s="135"/>
      <c r="O164" s="119">
        <f t="shared" si="6"/>
        <v>0</v>
      </c>
      <c r="P164" s="174">
        <f>ROUND(O164/24,2)</f>
        <v>0</v>
      </c>
      <c r="Q164" s="175">
        <f>P164*2</f>
        <v>0</v>
      </c>
      <c r="R164" s="176">
        <v>0</v>
      </c>
    </row>
    <row r="165" spans="1:18" x14ac:dyDescent="0.5">
      <c r="A165" s="55" t="s">
        <v>71</v>
      </c>
      <c r="B165" s="33" t="s">
        <v>3</v>
      </c>
      <c r="C165" s="195">
        <f>1844</f>
        <v>1844</v>
      </c>
      <c r="D165" s="134">
        <f>ROUND(C165/18,2)</f>
        <v>102.44</v>
      </c>
      <c r="E165" s="134"/>
      <c r="F165" s="135">
        <f>SUM(D165,E166:E167)</f>
        <v>102.44</v>
      </c>
      <c r="G165" s="76">
        <f>1575</f>
        <v>1575</v>
      </c>
      <c r="H165" s="134">
        <f>ROUND(G165/18,2)</f>
        <v>87.5</v>
      </c>
      <c r="I165" s="134"/>
      <c r="J165" s="135">
        <f>SUM(H165,I166:I167)</f>
        <v>87.5</v>
      </c>
      <c r="K165" s="106">
        <f>16</f>
        <v>16</v>
      </c>
      <c r="L165" s="134">
        <f>ROUND(K165/18,2)</f>
        <v>0.89</v>
      </c>
      <c r="M165" s="134"/>
      <c r="N165" s="135">
        <f>SUM(L165,M166:M167)</f>
        <v>0.89</v>
      </c>
      <c r="O165" s="115">
        <f t="shared" si="6"/>
        <v>3435</v>
      </c>
      <c r="P165" s="174">
        <f>ROUND(O165/36,2)</f>
        <v>95.42</v>
      </c>
      <c r="Q165" s="175" t="s">
        <v>44</v>
      </c>
      <c r="R165" s="176">
        <f>SUM(P165,Q166:Q167)</f>
        <v>95.42</v>
      </c>
    </row>
    <row r="166" spans="1:18" x14ac:dyDescent="0.5">
      <c r="A166" s="56"/>
      <c r="B166" s="33" t="s">
        <v>42</v>
      </c>
      <c r="C166" s="195"/>
      <c r="D166" s="134">
        <f>ROUND(C166/12,2)</f>
        <v>0</v>
      </c>
      <c r="E166" s="134">
        <f>D166*2</f>
        <v>0</v>
      </c>
      <c r="F166" s="135"/>
      <c r="G166" s="76"/>
      <c r="H166" s="134">
        <f>ROUND(G166/12,2)</f>
        <v>0</v>
      </c>
      <c r="I166" s="134">
        <f>H166*2</f>
        <v>0</v>
      </c>
      <c r="J166" s="135"/>
      <c r="K166" s="106"/>
      <c r="L166" s="134">
        <f>ROUND(K166/12,2)</f>
        <v>0</v>
      </c>
      <c r="M166" s="134">
        <f>L166*2</f>
        <v>0</v>
      </c>
      <c r="N166" s="135"/>
      <c r="O166" s="115">
        <f t="shared" si="6"/>
        <v>0</v>
      </c>
      <c r="P166" s="174">
        <f>ROUND(O166/24,2)</f>
        <v>0</v>
      </c>
      <c r="Q166" s="175">
        <f>P166*2</f>
        <v>0</v>
      </c>
      <c r="R166" s="176">
        <v>0</v>
      </c>
    </row>
    <row r="167" spans="1:18" x14ac:dyDescent="0.5">
      <c r="A167" s="56"/>
      <c r="B167" s="33" t="s">
        <v>43</v>
      </c>
      <c r="C167" s="195"/>
      <c r="D167" s="134">
        <f>ROUND(C167/12,2)</f>
        <v>0</v>
      </c>
      <c r="E167" s="134">
        <f>D167*2</f>
        <v>0</v>
      </c>
      <c r="F167" s="135"/>
      <c r="G167" s="76"/>
      <c r="H167" s="134">
        <f>ROUND(G167/12,2)</f>
        <v>0</v>
      </c>
      <c r="I167" s="134">
        <f>H167*2</f>
        <v>0</v>
      </c>
      <c r="J167" s="135"/>
      <c r="K167" s="95"/>
      <c r="L167" s="134">
        <f>ROUND(K167/12,2)</f>
        <v>0</v>
      </c>
      <c r="M167" s="134">
        <f>L167*2</f>
        <v>0</v>
      </c>
      <c r="N167" s="135"/>
      <c r="O167" s="119">
        <f t="shared" si="6"/>
        <v>0</v>
      </c>
      <c r="P167" s="174">
        <f>ROUND(O167/24,2)</f>
        <v>0</v>
      </c>
      <c r="Q167" s="175">
        <f>P167*2</f>
        <v>0</v>
      </c>
      <c r="R167" s="176">
        <v>0</v>
      </c>
    </row>
    <row r="168" spans="1:18" x14ac:dyDescent="0.5">
      <c r="A168" s="55" t="s">
        <v>72</v>
      </c>
      <c r="B168" s="33" t="s">
        <v>3</v>
      </c>
      <c r="C168" s="195">
        <f>2153</f>
        <v>2153</v>
      </c>
      <c r="D168" s="134">
        <f>ROUND(C168/18,2)</f>
        <v>119.61</v>
      </c>
      <c r="E168" s="134"/>
      <c r="F168" s="135">
        <f>SUM(D168,E169:E170)</f>
        <v>119.61</v>
      </c>
      <c r="G168" s="76">
        <f>1809</f>
        <v>1809</v>
      </c>
      <c r="H168" s="134">
        <f>ROUND(G168/18,2)</f>
        <v>100.5</v>
      </c>
      <c r="I168" s="134"/>
      <c r="J168" s="135">
        <f>SUM(H168,I169:I170)</f>
        <v>100.5</v>
      </c>
      <c r="K168" s="106">
        <f>42</f>
        <v>42</v>
      </c>
      <c r="L168" s="134">
        <f>ROUND(K168/18,2)</f>
        <v>2.33</v>
      </c>
      <c r="M168" s="134"/>
      <c r="N168" s="135">
        <f>SUM(L168,M169:M170)</f>
        <v>2.33</v>
      </c>
      <c r="O168" s="115">
        <f t="shared" si="6"/>
        <v>4004</v>
      </c>
      <c r="P168" s="174">
        <f>ROUND(O168/36,2)</f>
        <v>111.22</v>
      </c>
      <c r="Q168" s="175" t="s">
        <v>44</v>
      </c>
      <c r="R168" s="176">
        <f>SUM(P168,Q169:Q170)</f>
        <v>111.22</v>
      </c>
    </row>
    <row r="169" spans="1:18" x14ac:dyDescent="0.5">
      <c r="A169" s="56"/>
      <c r="B169" s="33" t="s">
        <v>42</v>
      </c>
      <c r="C169" s="195"/>
      <c r="D169" s="134">
        <f>ROUND(C169/12,2)</f>
        <v>0</v>
      </c>
      <c r="E169" s="134">
        <f>D169*2</f>
        <v>0</v>
      </c>
      <c r="F169" s="135"/>
      <c r="G169" s="76"/>
      <c r="H169" s="134">
        <f>ROUND(G169/12,2)</f>
        <v>0</v>
      </c>
      <c r="I169" s="134">
        <f>H169*2</f>
        <v>0</v>
      </c>
      <c r="J169" s="135"/>
      <c r="K169" s="95"/>
      <c r="L169" s="134">
        <f>ROUND(K169/12,2)</f>
        <v>0</v>
      </c>
      <c r="M169" s="134">
        <f>L169*2</f>
        <v>0</v>
      </c>
      <c r="N169" s="135"/>
      <c r="O169" s="115">
        <f t="shared" si="6"/>
        <v>0</v>
      </c>
      <c r="P169" s="174">
        <f>ROUND(O169/24,2)</f>
        <v>0</v>
      </c>
      <c r="Q169" s="175">
        <f>P169*2</f>
        <v>0</v>
      </c>
      <c r="R169" s="176">
        <v>0</v>
      </c>
    </row>
    <row r="170" spans="1:18" x14ac:dyDescent="0.5">
      <c r="A170" s="56"/>
      <c r="B170" s="33" t="s">
        <v>43</v>
      </c>
      <c r="C170" s="195"/>
      <c r="D170" s="134">
        <f>ROUND(C170/12,2)</f>
        <v>0</v>
      </c>
      <c r="E170" s="134">
        <f>D170*2</f>
        <v>0</v>
      </c>
      <c r="F170" s="135"/>
      <c r="G170" s="76"/>
      <c r="H170" s="134">
        <f>ROUND(G170/12,2)</f>
        <v>0</v>
      </c>
      <c r="I170" s="134">
        <f>H170*2</f>
        <v>0</v>
      </c>
      <c r="J170" s="135"/>
      <c r="K170" s="95"/>
      <c r="L170" s="134">
        <f>ROUND(K170/12,2)</f>
        <v>0</v>
      </c>
      <c r="M170" s="134">
        <f>L170*2</f>
        <v>0</v>
      </c>
      <c r="N170" s="135"/>
      <c r="O170" s="119">
        <f t="shared" si="6"/>
        <v>0</v>
      </c>
      <c r="P170" s="174">
        <f>ROUND(O170/24,2)</f>
        <v>0</v>
      </c>
      <c r="Q170" s="175">
        <f>P170*2</f>
        <v>0</v>
      </c>
      <c r="R170" s="176">
        <v>0</v>
      </c>
    </row>
    <row r="171" spans="1:18" x14ac:dyDescent="0.5">
      <c r="A171" s="55" t="s">
        <v>73</v>
      </c>
      <c r="B171" s="33" t="s">
        <v>3</v>
      </c>
      <c r="C171" s="195">
        <f>1120</f>
        <v>1120</v>
      </c>
      <c r="D171" s="134">
        <f>ROUND(C171/18,2)</f>
        <v>62.22</v>
      </c>
      <c r="E171" s="134"/>
      <c r="F171" s="135">
        <f>SUM(D171,E172:E173)</f>
        <v>87.88</v>
      </c>
      <c r="G171" s="76">
        <f>1442</f>
        <v>1442</v>
      </c>
      <c r="H171" s="134">
        <f>ROUND(G171/18,2)</f>
        <v>80.11</v>
      </c>
      <c r="I171" s="134"/>
      <c r="J171" s="135">
        <f>SUM(H171,I172:I173)</f>
        <v>102.61</v>
      </c>
      <c r="K171" s="106">
        <f>1</f>
        <v>1</v>
      </c>
      <c r="L171" s="134">
        <f>ROUND(K171/18,2)</f>
        <v>0.06</v>
      </c>
      <c r="M171" s="134"/>
      <c r="N171" s="135">
        <f>SUM(L171,M172:M173)</f>
        <v>2.56</v>
      </c>
      <c r="O171" s="115">
        <f t="shared" si="6"/>
        <v>2563</v>
      </c>
      <c r="P171" s="174">
        <f>ROUND(O171/36,2)</f>
        <v>71.19</v>
      </c>
      <c r="Q171" s="175" t="s">
        <v>44</v>
      </c>
      <c r="R171" s="176">
        <f>SUM(P171,Q172:Q173)</f>
        <v>96.53</v>
      </c>
    </row>
    <row r="172" spans="1:18" x14ac:dyDescent="0.5">
      <c r="A172" s="56"/>
      <c r="B172" s="33" t="s">
        <v>42</v>
      </c>
      <c r="C172" s="195">
        <f>154</f>
        <v>154</v>
      </c>
      <c r="D172" s="134">
        <f>ROUND(C172/12,2)</f>
        <v>12.83</v>
      </c>
      <c r="E172" s="134">
        <f>D172*2</f>
        <v>25.66</v>
      </c>
      <c r="F172" s="135"/>
      <c r="G172" s="76">
        <f>135</f>
        <v>135</v>
      </c>
      <c r="H172" s="134">
        <f>ROUND(G172/12,2)</f>
        <v>11.25</v>
      </c>
      <c r="I172" s="134">
        <f>H172*2</f>
        <v>22.5</v>
      </c>
      <c r="J172" s="135"/>
      <c r="K172" s="106">
        <f>15</f>
        <v>15</v>
      </c>
      <c r="L172" s="134">
        <f>ROUND(K172/12,2)</f>
        <v>1.25</v>
      </c>
      <c r="M172" s="134">
        <f>L172*2</f>
        <v>2.5</v>
      </c>
      <c r="N172" s="135"/>
      <c r="O172" s="115">
        <f t="shared" si="6"/>
        <v>304</v>
      </c>
      <c r="P172" s="174">
        <f>ROUND(O172/24,2)</f>
        <v>12.67</v>
      </c>
      <c r="Q172" s="175">
        <f>P172*2</f>
        <v>25.34</v>
      </c>
      <c r="R172" s="176">
        <v>0</v>
      </c>
    </row>
    <row r="173" spans="1:18" x14ac:dyDescent="0.5">
      <c r="A173" s="56"/>
      <c r="B173" s="33" t="s">
        <v>43</v>
      </c>
      <c r="C173" s="195"/>
      <c r="D173" s="134">
        <f>ROUND(C173/12,2)</f>
        <v>0</v>
      </c>
      <c r="E173" s="134">
        <f>D173*2</f>
        <v>0</v>
      </c>
      <c r="F173" s="135"/>
      <c r="G173" s="76"/>
      <c r="H173" s="134">
        <f>ROUND(G173/12,2)</f>
        <v>0</v>
      </c>
      <c r="I173" s="134">
        <f>H173*2</f>
        <v>0</v>
      </c>
      <c r="J173" s="135"/>
      <c r="K173" s="95"/>
      <c r="L173" s="134">
        <f>ROUND(K173/12,2)</f>
        <v>0</v>
      </c>
      <c r="M173" s="134">
        <f>L173*2</f>
        <v>0</v>
      </c>
      <c r="N173" s="135"/>
      <c r="O173" s="119">
        <f t="shared" si="6"/>
        <v>0</v>
      </c>
      <c r="P173" s="174">
        <f>ROUND(O173/24,2)</f>
        <v>0</v>
      </c>
      <c r="Q173" s="175">
        <f>P173*2</f>
        <v>0</v>
      </c>
      <c r="R173" s="176">
        <v>0</v>
      </c>
    </row>
    <row r="174" spans="1:18" x14ac:dyDescent="0.5">
      <c r="A174" s="55" t="s">
        <v>74</v>
      </c>
      <c r="B174" s="33" t="s">
        <v>3</v>
      </c>
      <c r="C174" s="195">
        <f>1696</f>
        <v>1696</v>
      </c>
      <c r="D174" s="134">
        <f>ROUND(C174/18,2)</f>
        <v>94.22</v>
      </c>
      <c r="E174" s="134"/>
      <c r="F174" s="135">
        <f>SUM(D174,E175:E176)</f>
        <v>134.22</v>
      </c>
      <c r="G174" s="76">
        <f>2147</f>
        <v>2147</v>
      </c>
      <c r="H174" s="134">
        <f>ROUND(G174/18,2)</f>
        <v>119.28</v>
      </c>
      <c r="I174" s="134"/>
      <c r="J174" s="135">
        <f>SUM(H174,I175:I176)</f>
        <v>152.28</v>
      </c>
      <c r="K174" s="106">
        <f>54</f>
        <v>54</v>
      </c>
      <c r="L174" s="134">
        <f>ROUND(K174/18,2)</f>
        <v>3</v>
      </c>
      <c r="M174" s="134"/>
      <c r="N174" s="135">
        <f>SUM(L174,M175:M176)</f>
        <v>5.34</v>
      </c>
      <c r="O174" s="115">
        <f t="shared" si="6"/>
        <v>3897</v>
      </c>
      <c r="P174" s="174">
        <f>ROUND(O174/36,2)</f>
        <v>108.25</v>
      </c>
      <c r="Q174" s="175" t="s">
        <v>44</v>
      </c>
      <c r="R174" s="176">
        <f>SUM(P174,Q175:Q176)</f>
        <v>145.91</v>
      </c>
    </row>
    <row r="175" spans="1:18" x14ac:dyDescent="0.5">
      <c r="A175" s="56"/>
      <c r="B175" s="33" t="s">
        <v>42</v>
      </c>
      <c r="C175" s="195">
        <f>240</f>
        <v>240</v>
      </c>
      <c r="D175" s="134">
        <f>ROUND(C175/12,2)</f>
        <v>20</v>
      </c>
      <c r="E175" s="134">
        <f>D175*2</f>
        <v>40</v>
      </c>
      <c r="F175" s="135"/>
      <c r="G175" s="76">
        <f>198</f>
        <v>198</v>
      </c>
      <c r="H175" s="134">
        <f>ROUND(G175/12,2)</f>
        <v>16.5</v>
      </c>
      <c r="I175" s="134">
        <f>H175*2</f>
        <v>33</v>
      </c>
      <c r="J175" s="135"/>
      <c r="K175" s="95">
        <f>14</f>
        <v>14</v>
      </c>
      <c r="L175" s="134">
        <f>ROUND(K175/12,2)</f>
        <v>1.17</v>
      </c>
      <c r="M175" s="134">
        <f>L175*2</f>
        <v>2.34</v>
      </c>
      <c r="N175" s="135"/>
      <c r="O175" s="115">
        <f t="shared" si="6"/>
        <v>452</v>
      </c>
      <c r="P175" s="174">
        <f>ROUND(O175/24,2)</f>
        <v>18.829999999999998</v>
      </c>
      <c r="Q175" s="175">
        <f>P175*2</f>
        <v>37.659999999999997</v>
      </c>
      <c r="R175" s="176">
        <v>0</v>
      </c>
    </row>
    <row r="176" spans="1:18" x14ac:dyDescent="0.5">
      <c r="A176" s="56"/>
      <c r="B176" s="33" t="s">
        <v>43</v>
      </c>
      <c r="C176" s="195"/>
      <c r="D176" s="134">
        <f>ROUND(C176/12,2)</f>
        <v>0</v>
      </c>
      <c r="E176" s="134">
        <f>D176*2</f>
        <v>0</v>
      </c>
      <c r="F176" s="135"/>
      <c r="G176" s="95"/>
      <c r="H176" s="134">
        <f>ROUND(G176/12,2)</f>
        <v>0</v>
      </c>
      <c r="I176" s="134">
        <f>H176*2</f>
        <v>0</v>
      </c>
      <c r="J176" s="135"/>
      <c r="K176" s="95"/>
      <c r="L176" s="134">
        <f>ROUND(K176/12,2)</f>
        <v>0</v>
      </c>
      <c r="M176" s="134">
        <f>L176*2</f>
        <v>0</v>
      </c>
      <c r="N176" s="135"/>
      <c r="O176" s="119">
        <f t="shared" si="6"/>
        <v>0</v>
      </c>
      <c r="P176" s="174">
        <f>ROUND(O176/24,2)</f>
        <v>0</v>
      </c>
      <c r="Q176" s="175">
        <f>P176*2</f>
        <v>0</v>
      </c>
      <c r="R176" s="176">
        <v>0</v>
      </c>
    </row>
    <row r="177" spans="1:18" x14ac:dyDescent="0.5">
      <c r="A177" s="63" t="s">
        <v>56</v>
      </c>
      <c r="B177" s="38" t="s">
        <v>3</v>
      </c>
      <c r="C177" s="198">
        <f>SUM(C159,C162,C165,C168,C171,C174)</f>
        <v>11543</v>
      </c>
      <c r="D177" s="140">
        <f>ROUND(C177/18,2)</f>
        <v>641.28</v>
      </c>
      <c r="E177" s="140"/>
      <c r="F177" s="141">
        <f>SUM(D177,E178:E179)</f>
        <v>767.12</v>
      </c>
      <c r="G177" s="78">
        <f>SUM(G159,G162,G165,G168,G171,G174)</f>
        <v>9993</v>
      </c>
      <c r="H177" s="140">
        <f>ROUND(G177/18,2)</f>
        <v>555.16999999999996</v>
      </c>
      <c r="I177" s="140"/>
      <c r="J177" s="141">
        <f>SUM(H177,I178:I179)</f>
        <v>660.32999999999993</v>
      </c>
      <c r="K177" s="78">
        <f>SUM(K159,K162,K165,K168,K171,K174)</f>
        <v>1820</v>
      </c>
      <c r="L177" s="140">
        <f>ROUND(K177/18,2)</f>
        <v>101.11</v>
      </c>
      <c r="M177" s="140"/>
      <c r="N177" s="141">
        <f>SUM(L177,M178:M179)</f>
        <v>105.95</v>
      </c>
      <c r="O177" s="120">
        <f t="shared" si="6"/>
        <v>23356</v>
      </c>
      <c r="P177" s="184">
        <f>ROUND(O177/36,2)</f>
        <v>648.78</v>
      </c>
      <c r="Q177" s="185" t="s">
        <v>44</v>
      </c>
      <c r="R177" s="176">
        <f>SUM(P177,Q178:Q179)</f>
        <v>766.69999999999993</v>
      </c>
    </row>
    <row r="178" spans="1:18" x14ac:dyDescent="0.5">
      <c r="A178" s="56"/>
      <c r="B178" s="38" t="s">
        <v>42</v>
      </c>
      <c r="C178" s="198">
        <f>SUM(C160,C163,C166,C169,C172,C175)</f>
        <v>755</v>
      </c>
      <c r="D178" s="140">
        <f>ROUND(C178/12,2)</f>
        <v>62.92</v>
      </c>
      <c r="E178" s="140">
        <f>D178*2</f>
        <v>125.84</v>
      </c>
      <c r="F178" s="141"/>
      <c r="G178" s="78">
        <f>SUM(G160,G163,G166,G169,G172,G175)</f>
        <v>631</v>
      </c>
      <c r="H178" s="140">
        <f>ROUND(G178/12,2)</f>
        <v>52.58</v>
      </c>
      <c r="I178" s="140">
        <f>H178*2</f>
        <v>105.16</v>
      </c>
      <c r="J178" s="141"/>
      <c r="K178" s="78">
        <f>SUM(K160,K163,K166,K169,K172,K175)</f>
        <v>29</v>
      </c>
      <c r="L178" s="140">
        <f>ROUND(K178/12,2)</f>
        <v>2.42</v>
      </c>
      <c r="M178" s="140">
        <f>L178*2</f>
        <v>4.84</v>
      </c>
      <c r="N178" s="141"/>
      <c r="O178" s="120">
        <f t="shared" si="6"/>
        <v>1415</v>
      </c>
      <c r="P178" s="184">
        <f>ROUND(O178/24,2)</f>
        <v>58.96</v>
      </c>
      <c r="Q178" s="185">
        <f>P178*2</f>
        <v>117.92</v>
      </c>
      <c r="R178" s="176">
        <v>0</v>
      </c>
    </row>
    <row r="179" spans="1:18" ht="22.5" thickBot="1" x14ac:dyDescent="0.55000000000000004">
      <c r="A179" s="57"/>
      <c r="B179" s="39" t="s">
        <v>43</v>
      </c>
      <c r="C179" s="81">
        <f>SUM(C161,C164,C167,C170,C173,C176)</f>
        <v>0</v>
      </c>
      <c r="D179" s="142">
        <f>ROUND(C179/12,2)</f>
        <v>0</v>
      </c>
      <c r="E179" s="142">
        <f>D179*2</f>
        <v>0</v>
      </c>
      <c r="F179" s="143"/>
      <c r="G179" s="79">
        <f>SUM(G161,G164,G167,G170,G173,G176)</f>
        <v>0</v>
      </c>
      <c r="H179" s="142">
        <f>ROUND(G179/12,2)</f>
        <v>0</v>
      </c>
      <c r="I179" s="142">
        <f>H179*2</f>
        <v>0</v>
      </c>
      <c r="J179" s="143"/>
      <c r="K179" s="79">
        <f>SUM(K161,K164,K167,K170,K173,K176)</f>
        <v>0</v>
      </c>
      <c r="L179" s="142">
        <f>ROUND(K179/12,2)</f>
        <v>0</v>
      </c>
      <c r="M179" s="142">
        <f>L179*2</f>
        <v>0</v>
      </c>
      <c r="N179" s="143"/>
      <c r="O179" s="123">
        <f t="shared" si="6"/>
        <v>0</v>
      </c>
      <c r="P179" s="187">
        <f>ROUND(O179/24,2)</f>
        <v>0</v>
      </c>
      <c r="Q179" s="187">
        <f>P179*2</f>
        <v>0</v>
      </c>
      <c r="R179" s="179">
        <v>0</v>
      </c>
    </row>
    <row r="180" spans="1:18" x14ac:dyDescent="0.5">
      <c r="A180" s="58" t="s">
        <v>17</v>
      </c>
      <c r="B180" s="36"/>
      <c r="C180" s="196"/>
      <c r="D180" s="138"/>
      <c r="E180" s="138"/>
      <c r="F180" s="139"/>
      <c r="G180" s="97"/>
      <c r="H180" s="138"/>
      <c r="I180" s="168"/>
      <c r="J180" s="139"/>
      <c r="K180" s="111"/>
      <c r="L180" s="138"/>
      <c r="M180" s="168"/>
      <c r="N180" s="139"/>
      <c r="O180" s="124"/>
      <c r="P180" s="183"/>
      <c r="Q180" s="183"/>
      <c r="R180" s="182"/>
    </row>
    <row r="181" spans="1:18" x14ac:dyDescent="0.5">
      <c r="A181" s="55" t="s">
        <v>41</v>
      </c>
      <c r="B181" s="33" t="s">
        <v>3</v>
      </c>
      <c r="C181" s="195">
        <f>4761</f>
        <v>4761</v>
      </c>
      <c r="D181" s="134">
        <f>ROUND(C181/18,2)</f>
        <v>264.5</v>
      </c>
      <c r="E181" s="134"/>
      <c r="F181" s="135">
        <f>SUM(D181,E182:E183)</f>
        <v>326.14999999999998</v>
      </c>
      <c r="G181" s="95">
        <f>2231+97</f>
        <v>2328</v>
      </c>
      <c r="H181" s="134">
        <f>ROUND(G181/18,2)</f>
        <v>129.33000000000001</v>
      </c>
      <c r="I181" s="134"/>
      <c r="J181" s="135">
        <f>SUM(H181,I182:I183)</f>
        <v>192.33</v>
      </c>
      <c r="K181" s="95">
        <f>183+1785</f>
        <v>1968</v>
      </c>
      <c r="L181" s="134">
        <f>ROUND(K181/18,2)</f>
        <v>109.33</v>
      </c>
      <c r="M181" s="134"/>
      <c r="N181" s="135">
        <f>SUM(L181,M182:M183)</f>
        <v>109.33</v>
      </c>
      <c r="O181" s="115">
        <f>SUM(C181,G181,K181)</f>
        <v>9057</v>
      </c>
      <c r="P181" s="174">
        <f>ROUND(O181/36,2)</f>
        <v>251.58</v>
      </c>
      <c r="Q181" s="175" t="s">
        <v>44</v>
      </c>
      <c r="R181" s="176">
        <f>SUM(P181,Q182:Q183)</f>
        <v>313.91399999999999</v>
      </c>
    </row>
    <row r="182" spans="1:18" x14ac:dyDescent="0.5">
      <c r="A182" s="68"/>
      <c r="B182" s="33" t="s">
        <v>42</v>
      </c>
      <c r="C182" s="195">
        <f>411</f>
        <v>411</v>
      </c>
      <c r="D182" s="134">
        <f>ROUND(C182/12,2)</f>
        <v>34.25</v>
      </c>
      <c r="E182" s="134">
        <f>D182*1.8</f>
        <v>61.65</v>
      </c>
      <c r="F182" s="135"/>
      <c r="G182" s="95">
        <f>360+60</f>
        <v>420</v>
      </c>
      <c r="H182" s="134">
        <f>ROUND(G182/12,2)</f>
        <v>35</v>
      </c>
      <c r="I182" s="134">
        <f>H182*1.8</f>
        <v>63</v>
      </c>
      <c r="J182" s="135"/>
      <c r="K182" s="95"/>
      <c r="L182" s="134">
        <f>ROUND(K182/12,2)</f>
        <v>0</v>
      </c>
      <c r="M182" s="134">
        <f>L182*1.8</f>
        <v>0</v>
      </c>
      <c r="N182" s="135"/>
      <c r="O182" s="119">
        <f>SUM(C182,G182,K182)</f>
        <v>831</v>
      </c>
      <c r="P182" s="175">
        <f>ROUND(O182/24,2)</f>
        <v>34.630000000000003</v>
      </c>
      <c r="Q182" s="175">
        <f>P182*1.8</f>
        <v>62.334000000000003</v>
      </c>
      <c r="R182" s="176">
        <v>0</v>
      </c>
    </row>
    <row r="183" spans="1:18" ht="22.5" thickBot="1" x14ac:dyDescent="0.55000000000000004">
      <c r="A183" s="57"/>
      <c r="B183" s="34" t="s">
        <v>43</v>
      </c>
      <c r="C183" s="80"/>
      <c r="D183" s="136">
        <f>ROUND(C183/12,2)</f>
        <v>0</v>
      </c>
      <c r="E183" s="136">
        <f>D183*1.8</f>
        <v>0</v>
      </c>
      <c r="F183" s="137"/>
      <c r="G183" s="96"/>
      <c r="H183" s="136">
        <f>ROUND(G183/12,2)</f>
        <v>0</v>
      </c>
      <c r="I183" s="136">
        <f>H183*1.8</f>
        <v>0</v>
      </c>
      <c r="J183" s="137"/>
      <c r="K183" s="96"/>
      <c r="L183" s="136">
        <f>ROUND(K183/12,2)</f>
        <v>0</v>
      </c>
      <c r="M183" s="136">
        <f>L183*1.8</f>
        <v>0</v>
      </c>
      <c r="N183" s="137"/>
      <c r="O183" s="125">
        <f>SUM(C183,G183,K183)</f>
        <v>0</v>
      </c>
      <c r="P183" s="178">
        <f>ROUND(O183/24,2)</f>
        <v>0</v>
      </c>
      <c r="Q183" s="178">
        <f>P183*1.8</f>
        <v>0</v>
      </c>
      <c r="R183" s="179">
        <v>0</v>
      </c>
    </row>
    <row r="184" spans="1:18" x14ac:dyDescent="0.5">
      <c r="A184" s="58" t="s">
        <v>18</v>
      </c>
      <c r="B184" s="36"/>
      <c r="C184" s="196"/>
      <c r="D184" s="138"/>
      <c r="E184" s="138"/>
      <c r="F184" s="139"/>
      <c r="G184" s="97"/>
      <c r="H184" s="138"/>
      <c r="I184" s="168"/>
      <c r="J184" s="139"/>
      <c r="K184" s="108"/>
      <c r="L184" s="138"/>
      <c r="M184" s="138"/>
      <c r="N184" s="139"/>
      <c r="O184" s="118"/>
      <c r="P184" s="183"/>
      <c r="Q184" s="181"/>
      <c r="R184" s="182"/>
    </row>
    <row r="185" spans="1:18" x14ac:dyDescent="0.5">
      <c r="A185" s="55" t="s">
        <v>75</v>
      </c>
      <c r="B185" s="33" t="s">
        <v>3</v>
      </c>
      <c r="C185" s="195">
        <v>1848</v>
      </c>
      <c r="D185" s="134">
        <f>ROUND(C185/18,2)</f>
        <v>102.67</v>
      </c>
      <c r="E185" s="134"/>
      <c r="F185" s="135">
        <f>SUM(D185,E186:E188)</f>
        <v>141.41499999999999</v>
      </c>
      <c r="G185" s="95">
        <v>1350</v>
      </c>
      <c r="H185" s="134">
        <f>ROUND(G185/18,2)</f>
        <v>75</v>
      </c>
      <c r="I185" s="134"/>
      <c r="J185" s="135">
        <f>SUM(H185,I186:I188)</f>
        <v>91.38</v>
      </c>
      <c r="K185" s="106">
        <f>568</f>
        <v>568</v>
      </c>
      <c r="L185" s="134">
        <f>ROUND(K185/18,2)</f>
        <v>31.56</v>
      </c>
      <c r="M185" s="134"/>
      <c r="N185" s="135">
        <f>SUM(L185,M186:M188)</f>
        <v>31.56</v>
      </c>
      <c r="O185" s="115">
        <f t="shared" ref="O185:O216" si="7">SUM(C185,G185,K185)</f>
        <v>3766</v>
      </c>
      <c r="P185" s="174">
        <f>ROUND(O185/36,2)</f>
        <v>104.61</v>
      </c>
      <c r="Q185" s="175" t="s">
        <v>44</v>
      </c>
      <c r="R185" s="176">
        <f>SUM(P185,Q186:Q188)</f>
        <v>132.18</v>
      </c>
    </row>
    <row r="186" spans="1:18" x14ac:dyDescent="0.5">
      <c r="A186" s="56"/>
      <c r="B186" s="33" t="s">
        <v>76</v>
      </c>
      <c r="C186" s="195"/>
      <c r="D186" s="134">
        <f>ROUND(C186/12,2)</f>
        <v>0</v>
      </c>
      <c r="E186" s="134">
        <f>D186*1.5</f>
        <v>0</v>
      </c>
      <c r="F186" s="135"/>
      <c r="G186" s="95"/>
      <c r="H186" s="134">
        <f>ROUND(G186/12,2)</f>
        <v>0</v>
      </c>
      <c r="I186" s="134">
        <f>H186*1.5</f>
        <v>0</v>
      </c>
      <c r="J186" s="135"/>
      <c r="K186" s="95"/>
      <c r="L186" s="134">
        <f>ROUND(K186/12,2)</f>
        <v>0</v>
      </c>
      <c r="M186" s="134">
        <f>L186*1.5</f>
        <v>0</v>
      </c>
      <c r="N186" s="135"/>
      <c r="O186" s="115">
        <f t="shared" si="7"/>
        <v>0</v>
      </c>
      <c r="P186" s="174">
        <f>ROUND(O186/24,2)</f>
        <v>0</v>
      </c>
      <c r="Q186" s="175">
        <f>P186*1.5</f>
        <v>0</v>
      </c>
      <c r="R186" s="176">
        <v>0</v>
      </c>
    </row>
    <row r="187" spans="1:18" x14ac:dyDescent="0.5">
      <c r="A187" s="56"/>
      <c r="B187" s="33" t="s">
        <v>42</v>
      </c>
      <c r="C187" s="195">
        <v>310</v>
      </c>
      <c r="D187" s="134">
        <f>ROUND(C187/12,2)</f>
        <v>25.83</v>
      </c>
      <c r="E187" s="134">
        <f>D187*1.5</f>
        <v>38.744999999999997</v>
      </c>
      <c r="F187" s="135"/>
      <c r="G187" s="95">
        <v>131</v>
      </c>
      <c r="H187" s="134">
        <f>ROUND(G187/12,2)</f>
        <v>10.92</v>
      </c>
      <c r="I187" s="134">
        <f>H187*1.5</f>
        <v>16.38</v>
      </c>
      <c r="J187" s="135"/>
      <c r="K187" s="95"/>
      <c r="L187" s="134">
        <f>ROUND(K187/12,2)</f>
        <v>0</v>
      </c>
      <c r="M187" s="134">
        <f>L187*1.5</f>
        <v>0</v>
      </c>
      <c r="N187" s="135"/>
      <c r="O187" s="115">
        <f t="shared" si="7"/>
        <v>441</v>
      </c>
      <c r="P187" s="174">
        <f>ROUND(O187/24,2)</f>
        <v>18.38</v>
      </c>
      <c r="Q187" s="175">
        <f>P187*1.5</f>
        <v>27.57</v>
      </c>
      <c r="R187" s="176">
        <v>0</v>
      </c>
    </row>
    <row r="188" spans="1:18" x14ac:dyDescent="0.5">
      <c r="A188" s="56"/>
      <c r="B188" s="33" t="s">
        <v>43</v>
      </c>
      <c r="C188" s="195"/>
      <c r="D188" s="134">
        <f>ROUND(C188/12,2)</f>
        <v>0</v>
      </c>
      <c r="E188" s="134">
        <f>D188*1.5</f>
        <v>0</v>
      </c>
      <c r="F188" s="135"/>
      <c r="G188" s="95"/>
      <c r="H188" s="134">
        <f>ROUND(G188/12,2)</f>
        <v>0</v>
      </c>
      <c r="I188" s="134">
        <f>H188*1.5</f>
        <v>0</v>
      </c>
      <c r="J188" s="135"/>
      <c r="K188" s="95"/>
      <c r="L188" s="134">
        <f>ROUND(K188/12,2)</f>
        <v>0</v>
      </c>
      <c r="M188" s="134">
        <f>L188*1.5</f>
        <v>0</v>
      </c>
      <c r="N188" s="135"/>
      <c r="O188" s="115">
        <f t="shared" si="7"/>
        <v>0</v>
      </c>
      <c r="P188" s="174">
        <f>ROUND(O188/24,2)</f>
        <v>0</v>
      </c>
      <c r="Q188" s="175">
        <f>P188*1.5</f>
        <v>0</v>
      </c>
      <c r="R188" s="176">
        <v>0</v>
      </c>
    </row>
    <row r="189" spans="1:18" x14ac:dyDescent="0.5">
      <c r="A189" s="55" t="s">
        <v>77</v>
      </c>
      <c r="B189" s="33" t="s">
        <v>3</v>
      </c>
      <c r="C189" s="195">
        <v>801</v>
      </c>
      <c r="D189" s="134">
        <f>ROUND(C189/18,2)</f>
        <v>44.5</v>
      </c>
      <c r="E189" s="134"/>
      <c r="F189" s="135">
        <f>SUM(D189,E190:E192)</f>
        <v>216.505</v>
      </c>
      <c r="G189" s="95">
        <v>2361</v>
      </c>
      <c r="H189" s="134">
        <f>ROUND(G189/18,2)</f>
        <v>131.16999999999999</v>
      </c>
      <c r="I189" s="134"/>
      <c r="J189" s="135">
        <f>SUM(H189,I190:I192)</f>
        <v>380.79999999999995</v>
      </c>
      <c r="K189" s="106">
        <f>639</f>
        <v>639</v>
      </c>
      <c r="L189" s="134">
        <f>ROUND(K189/18,2)</f>
        <v>35.5</v>
      </c>
      <c r="M189" s="134"/>
      <c r="N189" s="135">
        <f>SUM(L189,M190:M192)</f>
        <v>185.62</v>
      </c>
      <c r="O189" s="115">
        <f t="shared" si="7"/>
        <v>3801</v>
      </c>
      <c r="P189" s="174">
        <f>ROUND(O189/36,2)</f>
        <v>105.58</v>
      </c>
      <c r="Q189" s="175" t="s">
        <v>44</v>
      </c>
      <c r="R189" s="176">
        <f>SUM(P189,Q190:Q192)</f>
        <v>391.45</v>
      </c>
    </row>
    <row r="190" spans="1:18" x14ac:dyDescent="0.5">
      <c r="A190" s="56"/>
      <c r="B190" s="33" t="s">
        <v>76</v>
      </c>
      <c r="C190" s="195"/>
      <c r="D190" s="134">
        <f>ROUND(C190/12,2)</f>
        <v>0</v>
      </c>
      <c r="E190" s="134">
        <f>D190*1.5</f>
        <v>0</v>
      </c>
      <c r="F190" s="135"/>
      <c r="G190" s="95"/>
      <c r="H190" s="134">
        <f>ROUND(G190/12,2)</f>
        <v>0</v>
      </c>
      <c r="I190" s="134">
        <f>H190*1.5</f>
        <v>0</v>
      </c>
      <c r="J190" s="135"/>
      <c r="K190" s="95"/>
      <c r="L190" s="134">
        <f>ROUND(K190/12,2)</f>
        <v>0</v>
      </c>
      <c r="M190" s="134">
        <f>L190*1.5</f>
        <v>0</v>
      </c>
      <c r="N190" s="135"/>
      <c r="O190" s="115">
        <f t="shared" si="7"/>
        <v>0</v>
      </c>
      <c r="P190" s="174">
        <f>ROUND(O190/24,2)</f>
        <v>0</v>
      </c>
      <c r="Q190" s="175">
        <f>P190*1.5</f>
        <v>0</v>
      </c>
      <c r="R190" s="176">
        <v>0</v>
      </c>
    </row>
    <row r="191" spans="1:18" x14ac:dyDescent="0.5">
      <c r="A191" s="56"/>
      <c r="B191" s="33" t="s">
        <v>42</v>
      </c>
      <c r="C191" s="195">
        <v>1376</v>
      </c>
      <c r="D191" s="134">
        <f>ROUND(C191/12,2)</f>
        <v>114.67</v>
      </c>
      <c r="E191" s="134">
        <f>D191*1.5</f>
        <v>172.005</v>
      </c>
      <c r="F191" s="135"/>
      <c r="G191" s="95">
        <v>1997</v>
      </c>
      <c r="H191" s="134">
        <f>ROUND(G191/12,2)</f>
        <v>166.42</v>
      </c>
      <c r="I191" s="134">
        <f>H191*1.5</f>
        <v>249.63</v>
      </c>
      <c r="J191" s="135"/>
      <c r="K191" s="106">
        <f>1069+132</f>
        <v>1201</v>
      </c>
      <c r="L191" s="134">
        <f>ROUND(K191/12,2)</f>
        <v>100.08</v>
      </c>
      <c r="M191" s="134">
        <f>L191*1.5</f>
        <v>150.12</v>
      </c>
      <c r="N191" s="135"/>
      <c r="O191" s="115">
        <f t="shared" si="7"/>
        <v>4574</v>
      </c>
      <c r="P191" s="174">
        <f>ROUND(O191/24,2)</f>
        <v>190.58</v>
      </c>
      <c r="Q191" s="175">
        <f>P191*1.5</f>
        <v>285.87</v>
      </c>
      <c r="R191" s="176">
        <v>0</v>
      </c>
    </row>
    <row r="192" spans="1:18" x14ac:dyDescent="0.5">
      <c r="A192" s="56"/>
      <c r="B192" s="33" t="s">
        <v>43</v>
      </c>
      <c r="C192" s="195"/>
      <c r="D192" s="134">
        <f>ROUND(C192/12,2)</f>
        <v>0</v>
      </c>
      <c r="E192" s="134">
        <f>D192*1.5</f>
        <v>0</v>
      </c>
      <c r="F192" s="135"/>
      <c r="G192" s="95"/>
      <c r="H192" s="134">
        <f>ROUND(G192/12,2)</f>
        <v>0</v>
      </c>
      <c r="I192" s="134">
        <f>H192*1.5</f>
        <v>0</v>
      </c>
      <c r="J192" s="135"/>
      <c r="K192" s="106"/>
      <c r="L192" s="134">
        <f>ROUND(K192/12,2)</f>
        <v>0</v>
      </c>
      <c r="M192" s="134">
        <f>L192*1.5</f>
        <v>0</v>
      </c>
      <c r="N192" s="135"/>
      <c r="O192" s="115">
        <f t="shared" si="7"/>
        <v>0</v>
      </c>
      <c r="P192" s="174">
        <f>ROUND(O192/24,2)</f>
        <v>0</v>
      </c>
      <c r="Q192" s="175">
        <f>P192*1.5</f>
        <v>0</v>
      </c>
      <c r="R192" s="176">
        <v>0</v>
      </c>
    </row>
    <row r="193" spans="1:18" x14ac:dyDescent="0.5">
      <c r="A193" s="55" t="s">
        <v>78</v>
      </c>
      <c r="B193" s="33" t="s">
        <v>3</v>
      </c>
      <c r="C193" s="195">
        <v>1224</v>
      </c>
      <c r="D193" s="134">
        <f>ROUND(C193/18,2)</f>
        <v>68</v>
      </c>
      <c r="E193" s="134"/>
      <c r="F193" s="135">
        <f>SUM(D193,E194:E196)</f>
        <v>146</v>
      </c>
      <c r="G193" s="95">
        <v>350</v>
      </c>
      <c r="H193" s="134">
        <f>ROUND(G193/18,2)</f>
        <v>19.440000000000001</v>
      </c>
      <c r="I193" s="134"/>
      <c r="J193" s="135">
        <f>SUM(H193,I194:I196)</f>
        <v>54.435000000000002</v>
      </c>
      <c r="K193" s="106">
        <f>1209</f>
        <v>1209</v>
      </c>
      <c r="L193" s="134">
        <f>ROUND(K193/18,2)</f>
        <v>67.17</v>
      </c>
      <c r="M193" s="134"/>
      <c r="N193" s="135">
        <f>SUM(L193,M194:M196)</f>
        <v>67.17</v>
      </c>
      <c r="O193" s="115">
        <f t="shared" si="7"/>
        <v>2783</v>
      </c>
      <c r="P193" s="174">
        <f>ROUND(O193/36,2)</f>
        <v>77.31</v>
      </c>
      <c r="Q193" s="175" t="s">
        <v>44</v>
      </c>
      <c r="R193" s="176">
        <f>SUM(P193,Q194:Q196)</f>
        <v>133.815</v>
      </c>
    </row>
    <row r="194" spans="1:18" x14ac:dyDescent="0.5">
      <c r="A194" s="56"/>
      <c r="B194" s="33" t="s">
        <v>76</v>
      </c>
      <c r="C194" s="195"/>
      <c r="D194" s="134">
        <f>ROUND(C194/12,2)</f>
        <v>0</v>
      </c>
      <c r="E194" s="134">
        <f>D194*1.5</f>
        <v>0</v>
      </c>
      <c r="F194" s="135"/>
      <c r="G194" s="95"/>
      <c r="H194" s="134">
        <f>ROUND(G194/12,2)</f>
        <v>0</v>
      </c>
      <c r="I194" s="134">
        <f>H194*1.5</f>
        <v>0</v>
      </c>
      <c r="J194" s="135"/>
      <c r="K194" s="95"/>
      <c r="L194" s="134">
        <f>ROUND(K194/12,2)</f>
        <v>0</v>
      </c>
      <c r="M194" s="134">
        <f>L194*1.5</f>
        <v>0</v>
      </c>
      <c r="N194" s="135"/>
      <c r="O194" s="115">
        <f t="shared" si="7"/>
        <v>0</v>
      </c>
      <c r="P194" s="174">
        <f>ROUND(O194/24,2)</f>
        <v>0</v>
      </c>
      <c r="Q194" s="175">
        <f>P194*1.5</f>
        <v>0</v>
      </c>
      <c r="R194" s="176">
        <v>0</v>
      </c>
    </row>
    <row r="195" spans="1:18" x14ac:dyDescent="0.5">
      <c r="A195" s="56"/>
      <c r="B195" s="33" t="s">
        <v>42</v>
      </c>
      <c r="C195" s="195">
        <v>624</v>
      </c>
      <c r="D195" s="134">
        <f>ROUND(C195/12,2)</f>
        <v>52</v>
      </c>
      <c r="E195" s="134">
        <f>D195*1.5</f>
        <v>78</v>
      </c>
      <c r="F195" s="135"/>
      <c r="G195" s="95">
        <v>280</v>
      </c>
      <c r="H195" s="134">
        <f>ROUND(G195/12,2)</f>
        <v>23.33</v>
      </c>
      <c r="I195" s="134">
        <f>H195*1.5</f>
        <v>34.994999999999997</v>
      </c>
      <c r="J195" s="135"/>
      <c r="K195" s="95"/>
      <c r="L195" s="134">
        <f>ROUND(K195/12,2)</f>
        <v>0</v>
      </c>
      <c r="M195" s="134">
        <f>L195*1.5</f>
        <v>0</v>
      </c>
      <c r="N195" s="135"/>
      <c r="O195" s="115">
        <f t="shared" si="7"/>
        <v>904</v>
      </c>
      <c r="P195" s="174">
        <f>ROUND(O195/24,2)</f>
        <v>37.67</v>
      </c>
      <c r="Q195" s="175">
        <f>P195*1.5</f>
        <v>56.505000000000003</v>
      </c>
      <c r="R195" s="176">
        <v>0</v>
      </c>
    </row>
    <row r="196" spans="1:18" x14ac:dyDescent="0.5">
      <c r="A196" s="56"/>
      <c r="B196" s="33" t="s">
        <v>43</v>
      </c>
      <c r="C196" s="195"/>
      <c r="D196" s="134">
        <f>ROUND(C196/12,2)</f>
        <v>0</v>
      </c>
      <c r="E196" s="134">
        <f>D196*1.5</f>
        <v>0</v>
      </c>
      <c r="F196" s="135"/>
      <c r="G196" s="95"/>
      <c r="H196" s="134">
        <f>ROUND(G196/12,2)</f>
        <v>0</v>
      </c>
      <c r="I196" s="134">
        <f>H196*1.5</f>
        <v>0</v>
      </c>
      <c r="J196" s="135"/>
      <c r="K196" s="95"/>
      <c r="L196" s="134">
        <f>ROUND(K196/12,2)</f>
        <v>0</v>
      </c>
      <c r="M196" s="134">
        <f>L196*1.5</f>
        <v>0</v>
      </c>
      <c r="N196" s="135"/>
      <c r="O196" s="115">
        <f t="shared" si="7"/>
        <v>0</v>
      </c>
      <c r="P196" s="174">
        <f>ROUND(O196/24,2)</f>
        <v>0</v>
      </c>
      <c r="Q196" s="175">
        <f>P196*1.5</f>
        <v>0</v>
      </c>
      <c r="R196" s="176">
        <v>0</v>
      </c>
    </row>
    <row r="197" spans="1:18" x14ac:dyDescent="0.5">
      <c r="A197" s="55" t="s">
        <v>79</v>
      </c>
      <c r="B197" s="33" t="s">
        <v>3</v>
      </c>
      <c r="C197" s="195">
        <v>5081</v>
      </c>
      <c r="D197" s="134">
        <f>ROUND(C197/18,2)</f>
        <v>282.27999999999997</v>
      </c>
      <c r="E197" s="134"/>
      <c r="F197" s="135">
        <f>SUM(D197,E198:E200)</f>
        <v>306.90999999999997</v>
      </c>
      <c r="G197" s="95">
        <v>3379</v>
      </c>
      <c r="H197" s="134">
        <f>ROUND(G197/18,2)</f>
        <v>187.72</v>
      </c>
      <c r="I197" s="134"/>
      <c r="J197" s="135">
        <f>SUM(H197,I198:I200)</f>
        <v>214.72</v>
      </c>
      <c r="K197" s="95">
        <f>240+3296</f>
        <v>3536</v>
      </c>
      <c r="L197" s="134">
        <f>ROUND(K197/18,2)</f>
        <v>196.44</v>
      </c>
      <c r="M197" s="134"/>
      <c r="N197" s="135">
        <f>SUM(L197,M198:M200)</f>
        <v>196.44</v>
      </c>
      <c r="O197" s="115">
        <f t="shared" si="7"/>
        <v>11996</v>
      </c>
      <c r="P197" s="174">
        <f>ROUND(O197/36,2)</f>
        <v>333.22</v>
      </c>
      <c r="Q197" s="175" t="s">
        <v>44</v>
      </c>
      <c r="R197" s="176">
        <f>SUM(P197,Q198:Q200)</f>
        <v>359.03500000000003</v>
      </c>
    </row>
    <row r="198" spans="1:18" x14ac:dyDescent="0.5">
      <c r="A198" s="56"/>
      <c r="B198" s="33" t="s">
        <v>76</v>
      </c>
      <c r="C198" s="195"/>
      <c r="D198" s="134">
        <f>ROUND(C198/12,2)</f>
        <v>0</v>
      </c>
      <c r="E198" s="134">
        <f>D198*1.5</f>
        <v>0</v>
      </c>
      <c r="F198" s="135"/>
      <c r="G198" s="95"/>
      <c r="H198" s="134">
        <f>ROUND(G198/12,2)</f>
        <v>0</v>
      </c>
      <c r="I198" s="134">
        <f>H198*1.5</f>
        <v>0</v>
      </c>
      <c r="J198" s="135"/>
      <c r="K198" s="95"/>
      <c r="L198" s="134">
        <f>ROUND(K198/12,2)</f>
        <v>0</v>
      </c>
      <c r="M198" s="134">
        <f>L198*1.5</f>
        <v>0</v>
      </c>
      <c r="N198" s="135"/>
      <c r="O198" s="115">
        <f t="shared" si="7"/>
        <v>0</v>
      </c>
      <c r="P198" s="174">
        <f>ROUND(O198/24,2)</f>
        <v>0</v>
      </c>
      <c r="Q198" s="175">
        <f>P198*1.5</f>
        <v>0</v>
      </c>
      <c r="R198" s="176">
        <v>0</v>
      </c>
    </row>
    <row r="199" spans="1:18" x14ac:dyDescent="0.5">
      <c r="A199" s="56"/>
      <c r="B199" s="33" t="s">
        <v>42</v>
      </c>
      <c r="C199" s="195">
        <v>197</v>
      </c>
      <c r="D199" s="134">
        <f>ROUND(C199/12,2)</f>
        <v>16.420000000000002</v>
      </c>
      <c r="E199" s="134">
        <f>D199*1.5</f>
        <v>24.630000000000003</v>
      </c>
      <c r="F199" s="135"/>
      <c r="G199" s="95">
        <v>216</v>
      </c>
      <c r="H199" s="134">
        <f>ROUND(G199/12,2)</f>
        <v>18</v>
      </c>
      <c r="I199" s="134">
        <f>H199*1.5</f>
        <v>27</v>
      </c>
      <c r="J199" s="135"/>
      <c r="K199" s="95"/>
      <c r="L199" s="134">
        <f>ROUND(K199/12,2)</f>
        <v>0</v>
      </c>
      <c r="M199" s="134">
        <f>L199*1.5</f>
        <v>0</v>
      </c>
      <c r="N199" s="135"/>
      <c r="O199" s="115">
        <f t="shared" si="7"/>
        <v>413</v>
      </c>
      <c r="P199" s="174">
        <f>ROUND(O199/24,2)</f>
        <v>17.21</v>
      </c>
      <c r="Q199" s="175">
        <f>P199*1.5</f>
        <v>25.815000000000001</v>
      </c>
      <c r="R199" s="176">
        <v>0</v>
      </c>
    </row>
    <row r="200" spans="1:18" x14ac:dyDescent="0.5">
      <c r="A200" s="56"/>
      <c r="B200" s="33" t="s">
        <v>43</v>
      </c>
      <c r="C200" s="195"/>
      <c r="D200" s="134">
        <f>ROUND(C200/12,2)</f>
        <v>0</v>
      </c>
      <c r="E200" s="134">
        <f>D200*1.5</f>
        <v>0</v>
      </c>
      <c r="F200" s="135"/>
      <c r="G200" s="95"/>
      <c r="H200" s="134">
        <f>ROUND(G200/12,2)</f>
        <v>0</v>
      </c>
      <c r="I200" s="134">
        <f>H200*1.5</f>
        <v>0</v>
      </c>
      <c r="J200" s="135"/>
      <c r="K200" s="95"/>
      <c r="L200" s="134">
        <f>ROUND(K200/12,2)</f>
        <v>0</v>
      </c>
      <c r="M200" s="134">
        <f>L200*1.5</f>
        <v>0</v>
      </c>
      <c r="N200" s="135"/>
      <c r="O200" s="115">
        <f t="shared" si="7"/>
        <v>0</v>
      </c>
      <c r="P200" s="174">
        <f>ROUND(O200/24,2)</f>
        <v>0</v>
      </c>
      <c r="Q200" s="175">
        <f>P200*1.5</f>
        <v>0</v>
      </c>
      <c r="R200" s="176">
        <v>0</v>
      </c>
    </row>
    <row r="201" spans="1:18" x14ac:dyDescent="0.5">
      <c r="A201" s="55" t="s">
        <v>108</v>
      </c>
      <c r="B201" s="33" t="s">
        <v>3</v>
      </c>
      <c r="C201" s="195">
        <v>48</v>
      </c>
      <c r="D201" s="134">
        <f>ROUND(C201/18,2)</f>
        <v>2.67</v>
      </c>
      <c r="E201" s="134"/>
      <c r="F201" s="135">
        <f>SUM(D201,E202:E204)</f>
        <v>726.42</v>
      </c>
      <c r="G201" s="95"/>
      <c r="H201" s="134">
        <f>ROUND(G201/18,2)</f>
        <v>0</v>
      </c>
      <c r="I201" s="134"/>
      <c r="J201" s="135">
        <f>SUM(H201,I202:I204)</f>
        <v>656.25</v>
      </c>
      <c r="K201" s="106"/>
      <c r="L201" s="134">
        <f>ROUND(K201/18,2)</f>
        <v>0</v>
      </c>
      <c r="M201" s="134"/>
      <c r="N201" s="135">
        <f>SUM(L201,M202:M204)</f>
        <v>505.5</v>
      </c>
      <c r="O201" s="115">
        <f t="shared" si="7"/>
        <v>48</v>
      </c>
      <c r="P201" s="174">
        <f>ROUND(O201/36,2)</f>
        <v>1.33</v>
      </c>
      <c r="Q201" s="175" t="s">
        <v>44</v>
      </c>
      <c r="R201" s="176">
        <f>SUM(P201,Q202:Q204)</f>
        <v>944.09500000000003</v>
      </c>
    </row>
    <row r="202" spans="1:18" x14ac:dyDescent="0.5">
      <c r="A202" s="56"/>
      <c r="B202" s="33" t="s">
        <v>76</v>
      </c>
      <c r="C202" s="195"/>
      <c r="D202" s="134">
        <f>ROUND(C202/12,2)</f>
        <v>0</v>
      </c>
      <c r="E202" s="134">
        <f>D202*1.5</f>
        <v>0</v>
      </c>
      <c r="F202" s="135"/>
      <c r="G202" s="95"/>
      <c r="H202" s="134">
        <f>ROUND(G202/12,2)</f>
        <v>0</v>
      </c>
      <c r="I202" s="134">
        <f>H202*1.5</f>
        <v>0</v>
      </c>
      <c r="J202" s="135"/>
      <c r="K202" s="95"/>
      <c r="L202" s="134">
        <f>ROUND(K202/12,2)</f>
        <v>0</v>
      </c>
      <c r="M202" s="134">
        <f>L202*1.5</f>
        <v>0</v>
      </c>
      <c r="N202" s="135"/>
      <c r="O202" s="115">
        <f t="shared" si="7"/>
        <v>0</v>
      </c>
      <c r="P202" s="174">
        <f>ROUND(O202/24,2)</f>
        <v>0</v>
      </c>
      <c r="Q202" s="175">
        <f>P202*1.5</f>
        <v>0</v>
      </c>
      <c r="R202" s="176">
        <v>0</v>
      </c>
    </row>
    <row r="203" spans="1:18" x14ac:dyDescent="0.5">
      <c r="A203" s="56"/>
      <c r="B203" s="33" t="s">
        <v>42</v>
      </c>
      <c r="C203" s="195">
        <v>5661</v>
      </c>
      <c r="D203" s="134">
        <f>ROUND(C203/12,2)</f>
        <v>471.75</v>
      </c>
      <c r="E203" s="134">
        <f>D203*1.5</f>
        <v>707.625</v>
      </c>
      <c r="F203" s="135"/>
      <c r="G203" s="95">
        <v>5226</v>
      </c>
      <c r="H203" s="134">
        <f>ROUND(G203/12,2)</f>
        <v>435.5</v>
      </c>
      <c r="I203" s="134">
        <f>H203*1.5</f>
        <v>653.25</v>
      </c>
      <c r="J203" s="135"/>
      <c r="K203" s="95">
        <f>2946+894+180</f>
        <v>4020</v>
      </c>
      <c r="L203" s="134">
        <f>ROUND(K203/12,2)</f>
        <v>335</v>
      </c>
      <c r="M203" s="134">
        <f>L203*1.5</f>
        <v>502.5</v>
      </c>
      <c r="N203" s="135"/>
      <c r="O203" s="115">
        <f t="shared" si="7"/>
        <v>14907</v>
      </c>
      <c r="P203" s="174">
        <f>ROUND(O203/24,2)</f>
        <v>621.13</v>
      </c>
      <c r="Q203" s="175">
        <f>P203*1.5</f>
        <v>931.69499999999994</v>
      </c>
      <c r="R203" s="176">
        <v>0</v>
      </c>
    </row>
    <row r="204" spans="1:18" x14ac:dyDescent="0.5">
      <c r="A204" s="56"/>
      <c r="B204" s="33" t="s">
        <v>43</v>
      </c>
      <c r="C204" s="195">
        <v>129</v>
      </c>
      <c r="D204" s="134">
        <f>ROUND(C204/12,2)</f>
        <v>10.75</v>
      </c>
      <c r="E204" s="134">
        <f>D204*1.5</f>
        <v>16.125</v>
      </c>
      <c r="F204" s="135"/>
      <c r="G204" s="95">
        <v>24</v>
      </c>
      <c r="H204" s="134">
        <f>ROUND(G204/12,2)</f>
        <v>2</v>
      </c>
      <c r="I204" s="134">
        <f>H204*1.5</f>
        <v>3</v>
      </c>
      <c r="J204" s="135"/>
      <c r="K204" s="106">
        <f>24</f>
        <v>24</v>
      </c>
      <c r="L204" s="134">
        <f>ROUND(K204/12,2)</f>
        <v>2</v>
      </c>
      <c r="M204" s="134">
        <f>L204*1.5</f>
        <v>3</v>
      </c>
      <c r="N204" s="135"/>
      <c r="O204" s="115">
        <f t="shared" si="7"/>
        <v>177</v>
      </c>
      <c r="P204" s="174">
        <f>ROUND(O204/24,2)</f>
        <v>7.38</v>
      </c>
      <c r="Q204" s="175">
        <f>P204*1.5</f>
        <v>11.07</v>
      </c>
      <c r="R204" s="176">
        <v>0</v>
      </c>
    </row>
    <row r="205" spans="1:18" x14ac:dyDescent="0.5">
      <c r="A205" s="55" t="s">
        <v>109</v>
      </c>
      <c r="B205" s="33" t="s">
        <v>3</v>
      </c>
      <c r="C205" s="195">
        <v>255</v>
      </c>
      <c r="D205" s="134">
        <f>ROUND(C205/18,2)</f>
        <v>14.17</v>
      </c>
      <c r="E205" s="134"/>
      <c r="F205" s="135">
        <f>SUM(D205,E206:E208)</f>
        <v>128.54500000000002</v>
      </c>
      <c r="G205" s="95"/>
      <c r="H205" s="134">
        <f>ROUND(G205/18,2)</f>
        <v>0</v>
      </c>
      <c r="I205" s="134"/>
      <c r="J205" s="135">
        <f>SUM(H205,I206:I208)</f>
        <v>64.125</v>
      </c>
      <c r="K205" s="106"/>
      <c r="L205" s="134">
        <f>ROUND(K205/18,2)</f>
        <v>0</v>
      </c>
      <c r="M205" s="134"/>
      <c r="N205" s="135">
        <f>SUM(L205,M206:M208)</f>
        <v>4.875</v>
      </c>
      <c r="O205" s="115">
        <f t="shared" si="7"/>
        <v>255</v>
      </c>
      <c r="P205" s="174">
        <f>ROUND(O205/36,2)</f>
        <v>7.08</v>
      </c>
      <c r="Q205" s="175" t="s">
        <v>44</v>
      </c>
      <c r="R205" s="176">
        <f>SUM(P205,Q206:Q208)</f>
        <v>98.775000000000006</v>
      </c>
    </row>
    <row r="206" spans="1:18" x14ac:dyDescent="0.5">
      <c r="A206" s="56" t="s">
        <v>80</v>
      </c>
      <c r="B206" s="33" t="s">
        <v>76</v>
      </c>
      <c r="C206" s="195"/>
      <c r="D206" s="134">
        <f>ROUND(C206/12,2)</f>
        <v>0</v>
      </c>
      <c r="E206" s="134">
        <f>D206*1.5</f>
        <v>0</v>
      </c>
      <c r="F206" s="135"/>
      <c r="G206" s="95"/>
      <c r="H206" s="134">
        <f>ROUND(G206/12,2)</f>
        <v>0</v>
      </c>
      <c r="I206" s="134">
        <f>H206*1.5</f>
        <v>0</v>
      </c>
      <c r="J206" s="135"/>
      <c r="K206" s="95"/>
      <c r="L206" s="134">
        <f>ROUND(K206/12,2)</f>
        <v>0</v>
      </c>
      <c r="M206" s="134">
        <f>L206*1.5</f>
        <v>0</v>
      </c>
      <c r="N206" s="135"/>
      <c r="O206" s="115">
        <f t="shared" si="7"/>
        <v>0</v>
      </c>
      <c r="P206" s="174">
        <f>ROUND(O206/24,2)</f>
        <v>0</v>
      </c>
      <c r="Q206" s="175">
        <f>P206*1.5</f>
        <v>0</v>
      </c>
      <c r="R206" s="176">
        <v>0</v>
      </c>
    </row>
    <row r="207" spans="1:18" x14ac:dyDescent="0.5">
      <c r="A207" s="56"/>
      <c r="B207" s="33" t="s">
        <v>42</v>
      </c>
      <c r="C207" s="195">
        <v>354</v>
      </c>
      <c r="D207" s="134">
        <f>ROUND(C207/12,2)</f>
        <v>29.5</v>
      </c>
      <c r="E207" s="134">
        <f>D207*1.5</f>
        <v>44.25</v>
      </c>
      <c r="F207" s="135"/>
      <c r="G207" s="95">
        <f>219</f>
        <v>219</v>
      </c>
      <c r="H207" s="134">
        <f>ROUND(G207/12,2)</f>
        <v>18.25</v>
      </c>
      <c r="I207" s="134">
        <f>H207*1.5</f>
        <v>27.375</v>
      </c>
      <c r="J207" s="135"/>
      <c r="K207" s="106">
        <f>27+12</f>
        <v>39</v>
      </c>
      <c r="L207" s="134">
        <f>ROUND(K207/12,2)</f>
        <v>3.25</v>
      </c>
      <c r="M207" s="134">
        <f>L207*1.5</f>
        <v>4.875</v>
      </c>
      <c r="N207" s="135"/>
      <c r="O207" s="115">
        <f t="shared" si="7"/>
        <v>612</v>
      </c>
      <c r="P207" s="174">
        <f>ROUND(O207/24,2)</f>
        <v>25.5</v>
      </c>
      <c r="Q207" s="175">
        <f>P207*1.5</f>
        <v>38.25</v>
      </c>
      <c r="R207" s="176">
        <v>0</v>
      </c>
    </row>
    <row r="208" spans="1:18" x14ac:dyDescent="0.5">
      <c r="A208" s="56"/>
      <c r="B208" s="33" t="s">
        <v>43</v>
      </c>
      <c r="C208" s="195">
        <v>561</v>
      </c>
      <c r="D208" s="134">
        <f>ROUND(C208/12,2)</f>
        <v>46.75</v>
      </c>
      <c r="E208" s="134">
        <f>D208*1.5</f>
        <v>70.125</v>
      </c>
      <c r="F208" s="135"/>
      <c r="G208" s="95">
        <v>294</v>
      </c>
      <c r="H208" s="134">
        <f>ROUND(G208/12,2)</f>
        <v>24.5</v>
      </c>
      <c r="I208" s="134">
        <f>H208*1.5</f>
        <v>36.75</v>
      </c>
      <c r="J208" s="135"/>
      <c r="K208" s="106"/>
      <c r="L208" s="134">
        <f>ROUND(K208/12,2)</f>
        <v>0</v>
      </c>
      <c r="M208" s="134">
        <f>L208*1.5</f>
        <v>0</v>
      </c>
      <c r="N208" s="135"/>
      <c r="O208" s="115">
        <f t="shared" si="7"/>
        <v>855</v>
      </c>
      <c r="P208" s="174">
        <f>ROUND(O208/24,2)</f>
        <v>35.630000000000003</v>
      </c>
      <c r="Q208" s="175">
        <f>P208*1.5</f>
        <v>53.445000000000007</v>
      </c>
      <c r="R208" s="176">
        <v>0</v>
      </c>
    </row>
    <row r="209" spans="1:18" x14ac:dyDescent="0.5">
      <c r="A209" s="55" t="s">
        <v>41</v>
      </c>
      <c r="B209" s="33" t="s">
        <v>3</v>
      </c>
      <c r="C209" s="195"/>
      <c r="D209" s="134">
        <f>ROUND(C209/18,2)</f>
        <v>0</v>
      </c>
      <c r="E209" s="134"/>
      <c r="F209" s="135">
        <f>SUM(D209,E210:E212)</f>
        <v>0</v>
      </c>
      <c r="G209" s="95"/>
      <c r="H209" s="134">
        <f>ROUND(G209/18,2)</f>
        <v>0</v>
      </c>
      <c r="I209" s="134"/>
      <c r="J209" s="135">
        <f>SUM(H209,I210:I212)</f>
        <v>0</v>
      </c>
      <c r="K209" s="106">
        <f>3</f>
        <v>3</v>
      </c>
      <c r="L209" s="134">
        <f>ROUND(K209/18,2)</f>
        <v>0.17</v>
      </c>
      <c r="M209" s="134"/>
      <c r="N209" s="135">
        <f>SUM(L209,M210:M212)</f>
        <v>0.17</v>
      </c>
      <c r="O209" s="115">
        <f t="shared" si="7"/>
        <v>3</v>
      </c>
      <c r="P209" s="174">
        <f>ROUND(O209/36,2)</f>
        <v>0.08</v>
      </c>
      <c r="Q209" s="175" t="s">
        <v>44</v>
      </c>
      <c r="R209" s="176">
        <f>SUM(P209,Q210:Q212)</f>
        <v>0.08</v>
      </c>
    </row>
    <row r="210" spans="1:18" x14ac:dyDescent="0.5">
      <c r="A210" s="68"/>
      <c r="B210" s="33" t="s">
        <v>76</v>
      </c>
      <c r="C210" s="195"/>
      <c r="D210" s="134">
        <f>ROUND(C210/12,2)</f>
        <v>0</v>
      </c>
      <c r="E210" s="134">
        <f>D210*1.5</f>
        <v>0</v>
      </c>
      <c r="F210" s="135"/>
      <c r="G210" s="95"/>
      <c r="H210" s="134">
        <f>ROUND(G210/12,2)</f>
        <v>0</v>
      </c>
      <c r="I210" s="134">
        <f>H210*1.5</f>
        <v>0</v>
      </c>
      <c r="J210" s="135"/>
      <c r="K210" s="95"/>
      <c r="L210" s="134">
        <f>ROUND(K210/12,2)</f>
        <v>0</v>
      </c>
      <c r="M210" s="134">
        <f>L210*1.5</f>
        <v>0</v>
      </c>
      <c r="N210" s="135"/>
      <c r="O210" s="115">
        <f t="shared" si="7"/>
        <v>0</v>
      </c>
      <c r="P210" s="174">
        <f>ROUND(O210/24,2)</f>
        <v>0</v>
      </c>
      <c r="Q210" s="175">
        <f>P210*1.5</f>
        <v>0</v>
      </c>
      <c r="R210" s="176">
        <v>0</v>
      </c>
    </row>
    <row r="211" spans="1:18" x14ac:dyDescent="0.5">
      <c r="A211" s="56"/>
      <c r="B211" s="33" t="s">
        <v>42</v>
      </c>
      <c r="C211" s="195"/>
      <c r="D211" s="134">
        <f>ROUND(C211/12,2)</f>
        <v>0</v>
      </c>
      <c r="E211" s="134">
        <f>D211*1.5</f>
        <v>0</v>
      </c>
      <c r="F211" s="135"/>
      <c r="G211" s="95"/>
      <c r="H211" s="134">
        <f>ROUND(G211/12,2)</f>
        <v>0</v>
      </c>
      <c r="I211" s="134">
        <f>H211*1.5</f>
        <v>0</v>
      </c>
      <c r="J211" s="135"/>
      <c r="K211" s="106"/>
      <c r="L211" s="134">
        <f>ROUND(K211/12,2)</f>
        <v>0</v>
      </c>
      <c r="M211" s="134">
        <f>L211*1.5</f>
        <v>0</v>
      </c>
      <c r="N211" s="135"/>
      <c r="O211" s="115">
        <f t="shared" si="7"/>
        <v>0</v>
      </c>
      <c r="P211" s="174">
        <f>ROUND(O211/24,2)</f>
        <v>0</v>
      </c>
      <c r="Q211" s="175">
        <f>P211*1.5</f>
        <v>0</v>
      </c>
      <c r="R211" s="176">
        <v>0</v>
      </c>
    </row>
    <row r="212" spans="1:18" x14ac:dyDescent="0.5">
      <c r="A212" s="56"/>
      <c r="B212" s="33" t="s">
        <v>43</v>
      </c>
      <c r="C212" s="195"/>
      <c r="D212" s="134">
        <f>ROUND(C212/12,2)</f>
        <v>0</v>
      </c>
      <c r="E212" s="134">
        <f>D212*1.5</f>
        <v>0</v>
      </c>
      <c r="F212" s="135"/>
      <c r="G212" s="95"/>
      <c r="H212" s="134">
        <f>ROUND(G212/12,2)</f>
        <v>0</v>
      </c>
      <c r="I212" s="134">
        <f>H212*1.5</f>
        <v>0</v>
      </c>
      <c r="J212" s="135"/>
      <c r="K212" s="106"/>
      <c r="L212" s="134">
        <f>ROUND(K212/12,2)</f>
        <v>0</v>
      </c>
      <c r="M212" s="134">
        <f>L212*1.5</f>
        <v>0</v>
      </c>
      <c r="N212" s="135"/>
      <c r="O212" s="115">
        <f t="shared" si="7"/>
        <v>0</v>
      </c>
      <c r="P212" s="174">
        <f>ROUND(O212/24,2)</f>
        <v>0</v>
      </c>
      <c r="Q212" s="175">
        <f>P212*1.5</f>
        <v>0</v>
      </c>
      <c r="R212" s="176">
        <v>0</v>
      </c>
    </row>
    <row r="213" spans="1:18" x14ac:dyDescent="0.5">
      <c r="A213" s="63" t="s">
        <v>56</v>
      </c>
      <c r="B213" s="38" t="s">
        <v>3</v>
      </c>
      <c r="C213" s="198">
        <f>SUM(C185,C189,C193,C197,C201,C205,C209)</f>
        <v>9257</v>
      </c>
      <c r="D213" s="140">
        <f>ROUND(C213/18,2)</f>
        <v>514.28</v>
      </c>
      <c r="E213" s="140" t="s">
        <v>44</v>
      </c>
      <c r="F213" s="141">
        <f>SUM(D213,E214:E216)</f>
        <v>1665.7849999999999</v>
      </c>
      <c r="G213" s="78">
        <f>SUM(G185,G189,G193,G197,G201,G205,G209)</f>
        <v>7440</v>
      </c>
      <c r="H213" s="140">
        <f>ROUND(G213/18,2)</f>
        <v>413.33</v>
      </c>
      <c r="I213" s="140" t="s">
        <v>44</v>
      </c>
      <c r="J213" s="141">
        <f>SUM(H213,I214:I216)</f>
        <v>1461.7099999999998</v>
      </c>
      <c r="K213" s="78">
        <f>SUM(K185,K189,K193,K197,K201,K205,K209)</f>
        <v>5955</v>
      </c>
      <c r="L213" s="140">
        <f>ROUND(K213/18,2)</f>
        <v>330.83</v>
      </c>
      <c r="M213" s="140" t="s">
        <v>44</v>
      </c>
      <c r="N213" s="141">
        <f>SUM(L213,M214:M216)</f>
        <v>991.32500000000005</v>
      </c>
      <c r="O213" s="120">
        <f t="shared" si="7"/>
        <v>22652</v>
      </c>
      <c r="P213" s="184">
        <f>ROUND(O213/36,2)</f>
        <v>629.22</v>
      </c>
      <c r="Q213" s="185" t="s">
        <v>44</v>
      </c>
      <c r="R213" s="176">
        <f>SUM(P213,Q214:Q216)</f>
        <v>2059.41</v>
      </c>
    </row>
    <row r="214" spans="1:18" x14ac:dyDescent="0.5">
      <c r="A214" s="64"/>
      <c r="B214" s="38" t="s">
        <v>76</v>
      </c>
      <c r="C214" s="198">
        <f>SUM(C186,C190,C194,C198,C202,C206,C210)</f>
        <v>0</v>
      </c>
      <c r="D214" s="140">
        <f>ROUND(C214/123,2)</f>
        <v>0</v>
      </c>
      <c r="E214" s="140">
        <f>D214*1.5</f>
        <v>0</v>
      </c>
      <c r="F214" s="141">
        <v>0</v>
      </c>
      <c r="G214" s="78">
        <f>SUM(G186,G190,G194,G198,G202,G206,G210)</f>
        <v>0</v>
      </c>
      <c r="H214" s="140">
        <f>ROUND(G214/123,2)</f>
        <v>0</v>
      </c>
      <c r="I214" s="140">
        <f>H214*1.5</f>
        <v>0</v>
      </c>
      <c r="J214" s="141">
        <v>0</v>
      </c>
      <c r="K214" s="78">
        <f>SUM(K186,K190,K194,K198,K202,K206,K210)</f>
        <v>0</v>
      </c>
      <c r="L214" s="140">
        <f>ROUND(K214/123,2)</f>
        <v>0</v>
      </c>
      <c r="M214" s="140">
        <f>L214*1.5</f>
        <v>0</v>
      </c>
      <c r="N214" s="141">
        <v>0</v>
      </c>
      <c r="O214" s="120">
        <f t="shared" si="7"/>
        <v>0</v>
      </c>
      <c r="P214" s="184">
        <f>ROUND(O214/24,2)</f>
        <v>0</v>
      </c>
      <c r="Q214" s="185">
        <f>P214*1.5</f>
        <v>0</v>
      </c>
      <c r="R214" s="176">
        <v>0</v>
      </c>
    </row>
    <row r="215" spans="1:18" x14ac:dyDescent="0.5">
      <c r="A215" s="64"/>
      <c r="B215" s="38" t="s">
        <v>42</v>
      </c>
      <c r="C215" s="198">
        <f>SUM(C187,C191,C195,C199,C203,C207,C211)</f>
        <v>8522</v>
      </c>
      <c r="D215" s="140">
        <f>ROUND(C215/12,2)</f>
        <v>710.17</v>
      </c>
      <c r="E215" s="140">
        <f>D215*1.5</f>
        <v>1065.2549999999999</v>
      </c>
      <c r="F215" s="141">
        <v>0</v>
      </c>
      <c r="G215" s="78">
        <f>SUM(G187,G191,G195,G199,G203,G207,G211)</f>
        <v>8069</v>
      </c>
      <c r="H215" s="140">
        <f>ROUND(G215/12,2)</f>
        <v>672.42</v>
      </c>
      <c r="I215" s="140">
        <f>H215*1.5</f>
        <v>1008.6299999999999</v>
      </c>
      <c r="J215" s="141">
        <v>0</v>
      </c>
      <c r="K215" s="78">
        <f>SUM(K187,K191,K195,K199,K203,K207,K211)</f>
        <v>5260</v>
      </c>
      <c r="L215" s="140">
        <f>ROUND(K215/12,2)</f>
        <v>438.33</v>
      </c>
      <c r="M215" s="140">
        <f>L215*1.5</f>
        <v>657.495</v>
      </c>
      <c r="N215" s="141">
        <v>0</v>
      </c>
      <c r="O215" s="120">
        <f t="shared" si="7"/>
        <v>21851</v>
      </c>
      <c r="P215" s="184">
        <f>ROUND(O215/24,2)</f>
        <v>910.46</v>
      </c>
      <c r="Q215" s="185">
        <f>P215*1.5</f>
        <v>1365.69</v>
      </c>
      <c r="R215" s="176">
        <v>0</v>
      </c>
    </row>
    <row r="216" spans="1:18" ht="22.5" thickBot="1" x14ac:dyDescent="0.55000000000000004">
      <c r="A216" s="65"/>
      <c r="B216" s="39" t="s">
        <v>43</v>
      </c>
      <c r="C216" s="81">
        <f>SUM(C188,C192,C196,C200,C204,C208,C212)</f>
        <v>690</v>
      </c>
      <c r="D216" s="142">
        <f>ROUND(C216/12,2)</f>
        <v>57.5</v>
      </c>
      <c r="E216" s="142">
        <f>D216*1.5</f>
        <v>86.25</v>
      </c>
      <c r="F216" s="146">
        <v>0</v>
      </c>
      <c r="G216" s="79">
        <f>SUM(G188,G192,G196,G200,G204,G208,G212)</f>
        <v>318</v>
      </c>
      <c r="H216" s="142">
        <f>ROUND(G216/12,2)</f>
        <v>26.5</v>
      </c>
      <c r="I216" s="142">
        <f>H216*1.5</f>
        <v>39.75</v>
      </c>
      <c r="J216" s="143">
        <v>0</v>
      </c>
      <c r="K216" s="79">
        <f>SUM(K188,K192,K196,K200,K204,K208,K212)</f>
        <v>24</v>
      </c>
      <c r="L216" s="142">
        <f>ROUND(K216/12,2)</f>
        <v>2</v>
      </c>
      <c r="M216" s="142">
        <f>L216*1.5</f>
        <v>3</v>
      </c>
      <c r="N216" s="143">
        <v>0</v>
      </c>
      <c r="O216" s="121">
        <f t="shared" si="7"/>
        <v>1032</v>
      </c>
      <c r="P216" s="186">
        <f>ROUND(O216/24,2)</f>
        <v>43</v>
      </c>
      <c r="Q216" s="187">
        <f>P216*1.5</f>
        <v>64.5</v>
      </c>
      <c r="R216" s="179">
        <v>0</v>
      </c>
    </row>
    <row r="217" spans="1:18" x14ac:dyDescent="0.5">
      <c r="A217" s="58" t="s">
        <v>19</v>
      </c>
      <c r="B217" s="36"/>
      <c r="C217" s="196"/>
      <c r="D217" s="138"/>
      <c r="E217" s="138"/>
      <c r="F217" s="139"/>
      <c r="G217" s="97"/>
      <c r="H217" s="138"/>
      <c r="I217" s="168"/>
      <c r="J217" s="139"/>
      <c r="K217" s="111"/>
      <c r="L217" s="138"/>
      <c r="M217" s="168"/>
      <c r="N217" s="139"/>
      <c r="O217" s="124"/>
      <c r="P217" s="183"/>
      <c r="Q217" s="183"/>
      <c r="R217" s="182"/>
    </row>
    <row r="218" spans="1:18" x14ac:dyDescent="0.5">
      <c r="A218" s="55" t="s">
        <v>41</v>
      </c>
      <c r="B218" s="33" t="s">
        <v>3</v>
      </c>
      <c r="C218" s="195">
        <v>152</v>
      </c>
      <c r="D218" s="134">
        <f>ROUND(C218/18,2)</f>
        <v>8.44</v>
      </c>
      <c r="E218" s="134"/>
      <c r="F218" s="135">
        <f>SUM(D218,E219:E220)</f>
        <v>8.44</v>
      </c>
      <c r="G218" s="95">
        <v>114</v>
      </c>
      <c r="H218" s="134">
        <f>ROUND(G218/18,2)</f>
        <v>6.33</v>
      </c>
      <c r="I218" s="134"/>
      <c r="J218" s="135">
        <f>SUM(H218,I219:I220)</f>
        <v>6.33</v>
      </c>
      <c r="K218" s="95"/>
      <c r="L218" s="134">
        <f>ROUND(K218/18,2)</f>
        <v>0</v>
      </c>
      <c r="M218" s="134"/>
      <c r="N218" s="135">
        <f>SUM(L218,M219:M220)</f>
        <v>0</v>
      </c>
      <c r="O218" s="115">
        <f>SUM(C218,G218,K218)</f>
        <v>266</v>
      </c>
      <c r="P218" s="174">
        <f>ROUND(O218/36,2)</f>
        <v>7.39</v>
      </c>
      <c r="Q218" s="175" t="s">
        <v>44</v>
      </c>
      <c r="R218" s="176">
        <f>SUM(P218,Q219:Q220)</f>
        <v>7.39</v>
      </c>
    </row>
    <row r="219" spans="1:18" x14ac:dyDescent="0.5">
      <c r="A219" s="56"/>
      <c r="B219" s="33" t="s">
        <v>42</v>
      </c>
      <c r="C219" s="195"/>
      <c r="D219" s="134">
        <f>ROUND(C219/12,2)</f>
        <v>0</v>
      </c>
      <c r="E219" s="134">
        <f>D219*1</f>
        <v>0</v>
      </c>
      <c r="F219" s="135"/>
      <c r="G219" s="95"/>
      <c r="H219" s="134">
        <f>ROUND(G219/12,2)</f>
        <v>0</v>
      </c>
      <c r="I219" s="134">
        <f>H219*1</f>
        <v>0</v>
      </c>
      <c r="J219" s="135"/>
      <c r="K219" s="95"/>
      <c r="L219" s="134">
        <f>ROUND(K219/12,2)</f>
        <v>0</v>
      </c>
      <c r="M219" s="134">
        <f>L219*1</f>
        <v>0</v>
      </c>
      <c r="N219" s="135"/>
      <c r="O219" s="119">
        <f>SUM(C219,G219,K219)</f>
        <v>0</v>
      </c>
      <c r="P219" s="175">
        <f>ROUND(O219/24,2)</f>
        <v>0</v>
      </c>
      <c r="Q219" s="175">
        <f>P219*1</f>
        <v>0</v>
      </c>
      <c r="R219" s="176">
        <v>0</v>
      </c>
    </row>
    <row r="220" spans="1:18" ht="22.5" thickBot="1" x14ac:dyDescent="0.55000000000000004">
      <c r="A220" s="57"/>
      <c r="B220" s="34" t="s">
        <v>43</v>
      </c>
      <c r="C220" s="80"/>
      <c r="D220" s="136">
        <f>ROUND(C220/12,2)</f>
        <v>0</v>
      </c>
      <c r="E220" s="136">
        <f>D220*1</f>
        <v>0</v>
      </c>
      <c r="F220" s="137"/>
      <c r="G220" s="96"/>
      <c r="H220" s="136">
        <f>ROUND(G220/12,2)</f>
        <v>0</v>
      </c>
      <c r="I220" s="136">
        <f>H220*1</f>
        <v>0</v>
      </c>
      <c r="J220" s="137"/>
      <c r="K220" s="96"/>
      <c r="L220" s="136">
        <f>ROUND(K220/12,2)</f>
        <v>0</v>
      </c>
      <c r="M220" s="136">
        <f>L220*1</f>
        <v>0</v>
      </c>
      <c r="N220" s="137"/>
      <c r="O220" s="125">
        <f>SUM(C220,G220,K220)</f>
        <v>0</v>
      </c>
      <c r="P220" s="178">
        <f>ROUND(O220/24,2)</f>
        <v>0</v>
      </c>
      <c r="Q220" s="178">
        <f>P220*1</f>
        <v>0</v>
      </c>
      <c r="R220" s="179">
        <v>0</v>
      </c>
    </row>
    <row r="221" spans="1:18" x14ac:dyDescent="0.5">
      <c r="A221" s="58" t="s">
        <v>20</v>
      </c>
      <c r="B221" s="36"/>
      <c r="C221" s="197"/>
      <c r="D221" s="138"/>
      <c r="E221" s="138"/>
      <c r="F221" s="139"/>
      <c r="G221" s="97"/>
      <c r="H221" s="138"/>
      <c r="I221" s="168"/>
      <c r="J221" s="139"/>
      <c r="K221" s="108"/>
      <c r="L221" s="138"/>
      <c r="M221" s="138"/>
      <c r="N221" s="139"/>
      <c r="O221" s="118"/>
      <c r="P221" s="183"/>
      <c r="Q221" s="181"/>
      <c r="R221" s="182"/>
    </row>
    <row r="222" spans="1:18" x14ac:dyDescent="0.5">
      <c r="A222" s="55" t="s">
        <v>81</v>
      </c>
      <c r="B222" s="33" t="s">
        <v>3</v>
      </c>
      <c r="C222" s="195">
        <f>1891</f>
        <v>1891</v>
      </c>
      <c r="D222" s="134">
        <f>ROUND(C222/18,2)</f>
        <v>105.06</v>
      </c>
      <c r="E222" s="134"/>
      <c r="F222" s="135">
        <f>SUM(D222,E223:E224)</f>
        <v>125.56</v>
      </c>
      <c r="G222" s="76">
        <f>1600</f>
        <v>1600</v>
      </c>
      <c r="H222" s="134">
        <f>ROUND(G222/18,2)</f>
        <v>88.89</v>
      </c>
      <c r="I222" s="134"/>
      <c r="J222" s="135">
        <f>SUM(H222,I223:I224)</f>
        <v>104.64</v>
      </c>
      <c r="K222" s="95">
        <f>483</f>
        <v>483</v>
      </c>
      <c r="L222" s="134">
        <f>ROUND(K222/18,2)</f>
        <v>26.83</v>
      </c>
      <c r="M222" s="134"/>
      <c r="N222" s="135">
        <f>SUM(L222,M223:M224)</f>
        <v>33.83</v>
      </c>
      <c r="O222" s="115">
        <f t="shared" ref="O222:O239" si="8">SUM(C222,G222,K222)</f>
        <v>3974</v>
      </c>
      <c r="P222" s="174">
        <f>ROUND(O222/36,2)</f>
        <v>110.39</v>
      </c>
      <c r="Q222" s="175" t="s">
        <v>44</v>
      </c>
      <c r="R222" s="176">
        <f>SUM(P222,Q223:Q224)</f>
        <v>132.02000000000001</v>
      </c>
    </row>
    <row r="223" spans="1:18" x14ac:dyDescent="0.5">
      <c r="A223" s="56"/>
      <c r="B223" s="33" t="s">
        <v>42</v>
      </c>
      <c r="C223" s="195">
        <f>246</f>
        <v>246</v>
      </c>
      <c r="D223" s="134">
        <f>ROUND(C223/12,2)</f>
        <v>20.5</v>
      </c>
      <c r="E223" s="134">
        <f>D223*1</f>
        <v>20.5</v>
      </c>
      <c r="F223" s="135"/>
      <c r="G223" s="76">
        <f>189</f>
        <v>189</v>
      </c>
      <c r="H223" s="134">
        <f>ROUND(G223/12,2)</f>
        <v>15.75</v>
      </c>
      <c r="I223" s="134">
        <f>H223*1</f>
        <v>15.75</v>
      </c>
      <c r="J223" s="135"/>
      <c r="K223" s="95">
        <f>84</f>
        <v>84</v>
      </c>
      <c r="L223" s="134">
        <f>ROUND(K223/12,2)</f>
        <v>7</v>
      </c>
      <c r="M223" s="134">
        <f>L223*1</f>
        <v>7</v>
      </c>
      <c r="N223" s="135"/>
      <c r="O223" s="115">
        <f t="shared" si="8"/>
        <v>519</v>
      </c>
      <c r="P223" s="175">
        <f>ROUND(O223/24,2)</f>
        <v>21.63</v>
      </c>
      <c r="Q223" s="175">
        <f>P223*1</f>
        <v>21.63</v>
      </c>
      <c r="R223" s="176">
        <v>0</v>
      </c>
    </row>
    <row r="224" spans="1:18" x14ac:dyDescent="0.5">
      <c r="A224" s="56"/>
      <c r="B224" s="33" t="s">
        <v>43</v>
      </c>
      <c r="C224" s="195"/>
      <c r="D224" s="134">
        <f>ROUND(C224/12,2)</f>
        <v>0</v>
      </c>
      <c r="E224" s="134">
        <f>D224*1</f>
        <v>0</v>
      </c>
      <c r="F224" s="135"/>
      <c r="G224" s="76"/>
      <c r="H224" s="134">
        <f>ROUND(G224/12,2)</f>
        <v>0</v>
      </c>
      <c r="I224" s="134">
        <f>H224*1</f>
        <v>0</v>
      </c>
      <c r="J224" s="135"/>
      <c r="K224" s="95"/>
      <c r="L224" s="134">
        <f>ROUND(K224/12,2)</f>
        <v>0</v>
      </c>
      <c r="M224" s="134">
        <f>L224*1</f>
        <v>0</v>
      </c>
      <c r="N224" s="135"/>
      <c r="O224" s="119">
        <f t="shared" si="8"/>
        <v>0</v>
      </c>
      <c r="P224" s="175">
        <f>ROUND(O224/24,2)</f>
        <v>0</v>
      </c>
      <c r="Q224" s="175">
        <f>P224*1</f>
        <v>0</v>
      </c>
      <c r="R224" s="176">
        <v>0</v>
      </c>
    </row>
    <row r="225" spans="1:18" x14ac:dyDescent="0.5">
      <c r="A225" s="55" t="s">
        <v>82</v>
      </c>
      <c r="B225" s="33" t="s">
        <v>3</v>
      </c>
      <c r="C225" s="195">
        <f>584+237</f>
        <v>821</v>
      </c>
      <c r="D225" s="134">
        <f>ROUND(C225/18,2)</f>
        <v>45.61</v>
      </c>
      <c r="E225" s="134"/>
      <c r="F225" s="135">
        <f>SUM(D225,E226:E227)</f>
        <v>79.94</v>
      </c>
      <c r="G225" s="76">
        <f>314</f>
        <v>314</v>
      </c>
      <c r="H225" s="134">
        <f>ROUND(G225/18,2)</f>
        <v>17.440000000000001</v>
      </c>
      <c r="I225" s="134"/>
      <c r="J225" s="135">
        <f>SUM(H225,I226:I227)</f>
        <v>31.94</v>
      </c>
      <c r="K225" s="95"/>
      <c r="L225" s="134">
        <f>ROUND(K225/18,2)</f>
        <v>0</v>
      </c>
      <c r="M225" s="134"/>
      <c r="N225" s="135">
        <f>SUM(L225,M226:M227)</f>
        <v>14.5</v>
      </c>
      <c r="O225" s="115">
        <f t="shared" si="8"/>
        <v>1135</v>
      </c>
      <c r="P225" s="174">
        <f>ROUND(O225/36,2)</f>
        <v>31.53</v>
      </c>
      <c r="Q225" s="175" t="s">
        <v>44</v>
      </c>
      <c r="R225" s="176">
        <f>SUM(P225,Q226:Q227)</f>
        <v>63.2</v>
      </c>
    </row>
    <row r="226" spans="1:18" x14ac:dyDescent="0.5">
      <c r="A226" s="56"/>
      <c r="B226" s="33" t="s">
        <v>42</v>
      </c>
      <c r="C226" s="195">
        <f>412</f>
        <v>412</v>
      </c>
      <c r="D226" s="134">
        <f>ROUND(C226/12,2)</f>
        <v>34.33</v>
      </c>
      <c r="E226" s="134">
        <f>D226*1</f>
        <v>34.33</v>
      </c>
      <c r="F226" s="135"/>
      <c r="G226" s="76">
        <f>174</f>
        <v>174</v>
      </c>
      <c r="H226" s="134">
        <f>ROUND(G226/12,2)</f>
        <v>14.5</v>
      </c>
      <c r="I226" s="134">
        <f>H226*1</f>
        <v>14.5</v>
      </c>
      <c r="J226" s="135"/>
      <c r="K226" s="95">
        <f>174</f>
        <v>174</v>
      </c>
      <c r="L226" s="134">
        <f>ROUND(K226/12,2)</f>
        <v>14.5</v>
      </c>
      <c r="M226" s="134">
        <f>L226*1</f>
        <v>14.5</v>
      </c>
      <c r="N226" s="135"/>
      <c r="O226" s="115">
        <f t="shared" si="8"/>
        <v>760</v>
      </c>
      <c r="P226" s="175">
        <f>ROUND(O226/24,2)</f>
        <v>31.67</v>
      </c>
      <c r="Q226" s="175">
        <f>P226*1</f>
        <v>31.67</v>
      </c>
      <c r="R226" s="176">
        <v>0</v>
      </c>
    </row>
    <row r="227" spans="1:18" x14ac:dyDescent="0.5">
      <c r="A227" s="56"/>
      <c r="B227" s="33" t="s">
        <v>43</v>
      </c>
      <c r="C227" s="195"/>
      <c r="D227" s="134">
        <f>ROUND(C227/12,2)</f>
        <v>0</v>
      </c>
      <c r="E227" s="134">
        <f>D227*1</f>
        <v>0</v>
      </c>
      <c r="F227" s="135"/>
      <c r="G227" s="76"/>
      <c r="H227" s="134">
        <f>ROUND(G227/12,2)</f>
        <v>0</v>
      </c>
      <c r="I227" s="134">
        <f>H227*1</f>
        <v>0</v>
      </c>
      <c r="J227" s="135"/>
      <c r="K227" s="95"/>
      <c r="L227" s="134">
        <f>ROUND(K227/12,2)</f>
        <v>0</v>
      </c>
      <c r="M227" s="134">
        <f>L227*1</f>
        <v>0</v>
      </c>
      <c r="N227" s="135"/>
      <c r="O227" s="119">
        <f t="shared" si="8"/>
        <v>0</v>
      </c>
      <c r="P227" s="175">
        <f>ROUND(O227/24,2)</f>
        <v>0</v>
      </c>
      <c r="Q227" s="175">
        <f>P227*1</f>
        <v>0</v>
      </c>
      <c r="R227" s="176">
        <v>0</v>
      </c>
    </row>
    <row r="228" spans="1:18" x14ac:dyDescent="0.5">
      <c r="A228" s="55" t="s">
        <v>83</v>
      </c>
      <c r="B228" s="33" t="s">
        <v>3</v>
      </c>
      <c r="C228" s="195">
        <f>1108</f>
        <v>1108</v>
      </c>
      <c r="D228" s="134">
        <f>ROUND(C228/18,2)</f>
        <v>61.56</v>
      </c>
      <c r="E228" s="134"/>
      <c r="F228" s="135">
        <f>SUM(D228,E229:E230)</f>
        <v>80.31</v>
      </c>
      <c r="G228" s="76">
        <f>940</f>
        <v>940</v>
      </c>
      <c r="H228" s="134">
        <f>ROUND(G228/18,2)</f>
        <v>52.22</v>
      </c>
      <c r="I228" s="134"/>
      <c r="J228" s="135">
        <f>SUM(H228,I229:I230)</f>
        <v>70.22</v>
      </c>
      <c r="K228" s="95">
        <f>542</f>
        <v>542</v>
      </c>
      <c r="L228" s="134">
        <f>ROUND(K228/18,2)</f>
        <v>30.11</v>
      </c>
      <c r="M228" s="134"/>
      <c r="N228" s="135">
        <f>SUM(L228,M229:M230)</f>
        <v>30.11</v>
      </c>
      <c r="O228" s="115">
        <f t="shared" si="8"/>
        <v>2590</v>
      </c>
      <c r="P228" s="174">
        <f>ROUND(O228/36,2)</f>
        <v>71.94</v>
      </c>
      <c r="Q228" s="175" t="s">
        <v>44</v>
      </c>
      <c r="R228" s="176">
        <f>SUM(P228,Q229:Q230)</f>
        <v>90.32</v>
      </c>
    </row>
    <row r="229" spans="1:18" x14ac:dyDescent="0.5">
      <c r="A229" s="56"/>
      <c r="B229" s="33" t="s">
        <v>42</v>
      </c>
      <c r="C229" s="195">
        <f>225</f>
        <v>225</v>
      </c>
      <c r="D229" s="134">
        <f>ROUND(C229/12,2)</f>
        <v>18.75</v>
      </c>
      <c r="E229" s="134">
        <f>D229*1</f>
        <v>18.75</v>
      </c>
      <c r="F229" s="135"/>
      <c r="G229" s="76">
        <f>216</f>
        <v>216</v>
      </c>
      <c r="H229" s="134">
        <f>ROUND(G229/12,2)</f>
        <v>18</v>
      </c>
      <c r="I229" s="134">
        <f>H229*1</f>
        <v>18</v>
      </c>
      <c r="J229" s="135"/>
      <c r="K229" s="95"/>
      <c r="L229" s="134">
        <f>ROUND(K229/12,2)</f>
        <v>0</v>
      </c>
      <c r="M229" s="134">
        <f>L229*1</f>
        <v>0</v>
      </c>
      <c r="N229" s="135"/>
      <c r="O229" s="115">
        <f t="shared" si="8"/>
        <v>441</v>
      </c>
      <c r="P229" s="175">
        <f>ROUND(O229/24,2)</f>
        <v>18.38</v>
      </c>
      <c r="Q229" s="175">
        <f>P229*1</f>
        <v>18.38</v>
      </c>
      <c r="R229" s="176">
        <v>0</v>
      </c>
    </row>
    <row r="230" spans="1:18" x14ac:dyDescent="0.5">
      <c r="A230" s="56"/>
      <c r="B230" s="33" t="s">
        <v>43</v>
      </c>
      <c r="C230" s="195"/>
      <c r="D230" s="134">
        <f>ROUND(C230/12,2)</f>
        <v>0</v>
      </c>
      <c r="E230" s="134">
        <f>D230*1</f>
        <v>0</v>
      </c>
      <c r="F230" s="135"/>
      <c r="G230" s="76"/>
      <c r="H230" s="134">
        <f>ROUND(G230/12,2)</f>
        <v>0</v>
      </c>
      <c r="I230" s="134">
        <f>H230*1</f>
        <v>0</v>
      </c>
      <c r="J230" s="135"/>
      <c r="K230" s="95"/>
      <c r="L230" s="134">
        <f>ROUND(K230/12,2)</f>
        <v>0</v>
      </c>
      <c r="M230" s="134">
        <f>L230*1</f>
        <v>0</v>
      </c>
      <c r="N230" s="135"/>
      <c r="O230" s="119">
        <f t="shared" si="8"/>
        <v>0</v>
      </c>
      <c r="P230" s="175">
        <f>ROUND(O230/24,2)</f>
        <v>0</v>
      </c>
      <c r="Q230" s="175">
        <f>P230*1</f>
        <v>0</v>
      </c>
      <c r="R230" s="176">
        <v>0</v>
      </c>
    </row>
    <row r="231" spans="1:18" x14ac:dyDescent="0.5">
      <c r="A231" s="55" t="s">
        <v>84</v>
      </c>
      <c r="B231" s="33" t="s">
        <v>3</v>
      </c>
      <c r="C231" s="195">
        <f>596</f>
        <v>596</v>
      </c>
      <c r="D231" s="134">
        <f>ROUND(C231/18,2)</f>
        <v>33.11</v>
      </c>
      <c r="E231" s="134"/>
      <c r="F231" s="135">
        <f>SUM(D231,E232:E233)</f>
        <v>35.11</v>
      </c>
      <c r="G231" s="76">
        <f>270</f>
        <v>270</v>
      </c>
      <c r="H231" s="134">
        <f>ROUND(G231/18,2)</f>
        <v>15</v>
      </c>
      <c r="I231" s="134"/>
      <c r="J231" s="135">
        <f>SUM(H231,I232:I233)</f>
        <v>22.5</v>
      </c>
      <c r="K231" s="95">
        <f>746</f>
        <v>746</v>
      </c>
      <c r="L231" s="134">
        <f>ROUND(K231/18,2)</f>
        <v>41.44</v>
      </c>
      <c r="M231" s="134"/>
      <c r="N231" s="135">
        <f>SUM(L231,M232:M233)</f>
        <v>41.94</v>
      </c>
      <c r="O231" s="115">
        <f t="shared" si="8"/>
        <v>1612</v>
      </c>
      <c r="P231" s="174">
        <f>ROUND(O231/36,2)</f>
        <v>44.78</v>
      </c>
      <c r="Q231" s="175" t="s">
        <v>44</v>
      </c>
      <c r="R231" s="176">
        <f>SUM(P231,Q232:Q233)</f>
        <v>49.78</v>
      </c>
    </row>
    <row r="232" spans="1:18" x14ac:dyDescent="0.5">
      <c r="A232" s="56"/>
      <c r="B232" s="33" t="s">
        <v>42</v>
      </c>
      <c r="C232" s="195">
        <f>24</f>
        <v>24</v>
      </c>
      <c r="D232" s="134">
        <f>ROUND(C232/12,2)</f>
        <v>2</v>
      </c>
      <c r="E232" s="134">
        <f>D232*1</f>
        <v>2</v>
      </c>
      <c r="F232" s="135"/>
      <c r="G232" s="76">
        <f>90</f>
        <v>90</v>
      </c>
      <c r="H232" s="134">
        <f>ROUND(G232/12,2)</f>
        <v>7.5</v>
      </c>
      <c r="I232" s="134">
        <f>H232*1</f>
        <v>7.5</v>
      </c>
      <c r="J232" s="135"/>
      <c r="K232" s="95">
        <f>6</f>
        <v>6</v>
      </c>
      <c r="L232" s="134">
        <f>ROUND(K232/12,2)</f>
        <v>0.5</v>
      </c>
      <c r="M232" s="134">
        <f>L232*1</f>
        <v>0.5</v>
      </c>
      <c r="N232" s="135"/>
      <c r="O232" s="115">
        <f t="shared" si="8"/>
        <v>120</v>
      </c>
      <c r="P232" s="175">
        <f>ROUND(O232/24,2)</f>
        <v>5</v>
      </c>
      <c r="Q232" s="175">
        <f>P232*1</f>
        <v>5</v>
      </c>
      <c r="R232" s="176">
        <v>0</v>
      </c>
    </row>
    <row r="233" spans="1:18" x14ac:dyDescent="0.5">
      <c r="A233" s="56"/>
      <c r="B233" s="33" t="s">
        <v>43</v>
      </c>
      <c r="C233" s="195"/>
      <c r="D233" s="134">
        <f>ROUND(C233/12,2)</f>
        <v>0</v>
      </c>
      <c r="E233" s="134">
        <f>D233*1</f>
        <v>0</v>
      </c>
      <c r="F233" s="135"/>
      <c r="G233" s="76"/>
      <c r="H233" s="134">
        <f>ROUND(G233/12,2)</f>
        <v>0</v>
      </c>
      <c r="I233" s="134">
        <f>H233*1</f>
        <v>0</v>
      </c>
      <c r="J233" s="135"/>
      <c r="K233" s="95"/>
      <c r="L233" s="134">
        <f>ROUND(K233/12,2)</f>
        <v>0</v>
      </c>
      <c r="M233" s="134">
        <f>L233*1</f>
        <v>0</v>
      </c>
      <c r="N233" s="135"/>
      <c r="O233" s="119">
        <f t="shared" si="8"/>
        <v>0</v>
      </c>
      <c r="P233" s="175">
        <f>ROUND(O233/24,2)</f>
        <v>0</v>
      </c>
      <c r="Q233" s="175">
        <f>P233*1</f>
        <v>0</v>
      </c>
      <c r="R233" s="176">
        <v>0</v>
      </c>
    </row>
    <row r="234" spans="1:18" x14ac:dyDescent="0.5">
      <c r="A234" s="55" t="s">
        <v>85</v>
      </c>
      <c r="B234" s="33" t="s">
        <v>3</v>
      </c>
      <c r="C234" s="195">
        <f>988</f>
        <v>988</v>
      </c>
      <c r="D234" s="134">
        <f>ROUND(C234/18,2)</f>
        <v>54.89</v>
      </c>
      <c r="E234" s="134"/>
      <c r="F234" s="135">
        <f>SUM(D234,E235:E236)</f>
        <v>62.14</v>
      </c>
      <c r="G234" s="76">
        <f>544</f>
        <v>544</v>
      </c>
      <c r="H234" s="134">
        <f>ROUND(G234/18,2)</f>
        <v>30.22</v>
      </c>
      <c r="I234" s="134"/>
      <c r="J234" s="135">
        <f>SUM(H234,I235:I236)</f>
        <v>30.22</v>
      </c>
      <c r="K234" s="95">
        <f>646</f>
        <v>646</v>
      </c>
      <c r="L234" s="134">
        <f>ROUND(K234/18,2)</f>
        <v>35.89</v>
      </c>
      <c r="M234" s="134"/>
      <c r="N234" s="135">
        <f>SUM(L234,M235:M236)</f>
        <v>35.89</v>
      </c>
      <c r="O234" s="115">
        <f t="shared" si="8"/>
        <v>2178</v>
      </c>
      <c r="P234" s="174">
        <f>ROUND(O234/36,2)</f>
        <v>60.5</v>
      </c>
      <c r="Q234" s="175" t="s">
        <v>44</v>
      </c>
      <c r="R234" s="176">
        <f>SUM(P234,Q235:Q236)</f>
        <v>64.13</v>
      </c>
    </row>
    <row r="235" spans="1:18" x14ac:dyDescent="0.5">
      <c r="A235" s="56"/>
      <c r="B235" s="33" t="s">
        <v>42</v>
      </c>
      <c r="C235" s="195">
        <f>87</f>
        <v>87</v>
      </c>
      <c r="D235" s="134">
        <f>ROUND(C235/12,2)</f>
        <v>7.25</v>
      </c>
      <c r="E235" s="134">
        <f>D235*1</f>
        <v>7.25</v>
      </c>
      <c r="F235" s="135"/>
      <c r="G235" s="95"/>
      <c r="H235" s="134">
        <f>ROUND(G235/12,2)</f>
        <v>0</v>
      </c>
      <c r="I235" s="134">
        <f>H235*1</f>
        <v>0</v>
      </c>
      <c r="J235" s="135"/>
      <c r="K235" s="95"/>
      <c r="L235" s="134">
        <f>ROUND(K235/12,2)</f>
        <v>0</v>
      </c>
      <c r="M235" s="134">
        <f>L235*1</f>
        <v>0</v>
      </c>
      <c r="N235" s="135"/>
      <c r="O235" s="115">
        <f t="shared" si="8"/>
        <v>87</v>
      </c>
      <c r="P235" s="175">
        <f>ROUND(O235/24,2)</f>
        <v>3.63</v>
      </c>
      <c r="Q235" s="175">
        <f>P235*1</f>
        <v>3.63</v>
      </c>
      <c r="R235" s="176">
        <v>0</v>
      </c>
    </row>
    <row r="236" spans="1:18" x14ac:dyDescent="0.5">
      <c r="A236" s="56"/>
      <c r="B236" s="33" t="s">
        <v>43</v>
      </c>
      <c r="C236" s="195"/>
      <c r="D236" s="134">
        <f>ROUND(C236/12,2)</f>
        <v>0</v>
      </c>
      <c r="E236" s="134">
        <f>D236*1</f>
        <v>0</v>
      </c>
      <c r="F236" s="135"/>
      <c r="G236" s="95"/>
      <c r="H236" s="134">
        <f>ROUND(G236/12,2)</f>
        <v>0</v>
      </c>
      <c r="I236" s="134">
        <f>H236*1</f>
        <v>0</v>
      </c>
      <c r="J236" s="135"/>
      <c r="K236" s="95"/>
      <c r="L236" s="134">
        <f>ROUND(K236/12,2)</f>
        <v>0</v>
      </c>
      <c r="M236" s="134">
        <f>L236*1</f>
        <v>0</v>
      </c>
      <c r="N236" s="135"/>
      <c r="O236" s="119">
        <f t="shared" si="8"/>
        <v>0</v>
      </c>
      <c r="P236" s="175">
        <f>ROUND(O236/24,2)</f>
        <v>0</v>
      </c>
      <c r="Q236" s="175">
        <f>P236*1</f>
        <v>0</v>
      </c>
      <c r="R236" s="176">
        <v>0</v>
      </c>
    </row>
    <row r="237" spans="1:18" x14ac:dyDescent="0.5">
      <c r="A237" s="63" t="s">
        <v>56</v>
      </c>
      <c r="B237" s="38" t="s">
        <v>3</v>
      </c>
      <c r="C237" s="198">
        <f>SUM(C222,C225,C228,C231,C234)</f>
        <v>5404</v>
      </c>
      <c r="D237" s="140">
        <f>ROUND(C237/18,2)</f>
        <v>300.22000000000003</v>
      </c>
      <c r="E237" s="140"/>
      <c r="F237" s="141">
        <f>SUM(D237,E238:E239)</f>
        <v>383.05</v>
      </c>
      <c r="G237" s="78">
        <f>SUM(G222,G225,G228,G231,G234)</f>
        <v>3668</v>
      </c>
      <c r="H237" s="140">
        <f>ROUND(G237/18,2)</f>
        <v>203.78</v>
      </c>
      <c r="I237" s="140"/>
      <c r="J237" s="141">
        <f>SUM(H237,I238:I239)</f>
        <v>259.52999999999997</v>
      </c>
      <c r="K237" s="78">
        <f>SUM(K222,K225,K228,K231,K234)</f>
        <v>2417</v>
      </c>
      <c r="L237" s="140">
        <f>ROUND(K237/18,2)</f>
        <v>134.28</v>
      </c>
      <c r="M237" s="140"/>
      <c r="N237" s="141">
        <f>SUM(L237,M238:M239)</f>
        <v>156.28</v>
      </c>
      <c r="O237" s="120">
        <f t="shared" si="8"/>
        <v>11489</v>
      </c>
      <c r="P237" s="184">
        <f>ROUND(O237/36,2)</f>
        <v>319.14</v>
      </c>
      <c r="Q237" s="185" t="s">
        <v>44</v>
      </c>
      <c r="R237" s="176">
        <f>SUM(P237,Q238:Q239)</f>
        <v>399.43</v>
      </c>
    </row>
    <row r="238" spans="1:18" x14ac:dyDescent="0.5">
      <c r="A238" s="68"/>
      <c r="B238" s="38" t="s">
        <v>42</v>
      </c>
      <c r="C238" s="198">
        <f>SUM(C223,C226,C229,C232,C235)</f>
        <v>994</v>
      </c>
      <c r="D238" s="140">
        <f>ROUND(C238/12,2)</f>
        <v>82.83</v>
      </c>
      <c r="E238" s="140">
        <f>D238*1</f>
        <v>82.83</v>
      </c>
      <c r="F238" s="141"/>
      <c r="G238" s="78">
        <f>SUM(G223,G226,G229,G232,G235)</f>
        <v>669</v>
      </c>
      <c r="H238" s="140">
        <f>ROUND(G238/12,2)</f>
        <v>55.75</v>
      </c>
      <c r="I238" s="140">
        <f>H238*1</f>
        <v>55.75</v>
      </c>
      <c r="J238" s="141"/>
      <c r="K238" s="78">
        <f>SUM(K223,K226,K229,K232,K235)</f>
        <v>264</v>
      </c>
      <c r="L238" s="140">
        <f>ROUND(K238/12,2)</f>
        <v>22</v>
      </c>
      <c r="M238" s="140">
        <f>L238*1</f>
        <v>22</v>
      </c>
      <c r="N238" s="141"/>
      <c r="O238" s="120">
        <f t="shared" si="8"/>
        <v>1927</v>
      </c>
      <c r="P238" s="184">
        <f>ROUND(O238/24,2)</f>
        <v>80.290000000000006</v>
      </c>
      <c r="Q238" s="185">
        <f>P238*1</f>
        <v>80.290000000000006</v>
      </c>
      <c r="R238" s="176">
        <v>0</v>
      </c>
    </row>
    <row r="239" spans="1:18" ht="22.5" thickBot="1" x14ac:dyDescent="0.55000000000000004">
      <c r="A239" s="57"/>
      <c r="B239" s="39" t="s">
        <v>43</v>
      </c>
      <c r="C239" s="81">
        <f>SUM(C224,C227,C230,C233,C236)</f>
        <v>0</v>
      </c>
      <c r="D239" s="142">
        <f>ROUND(C239/12,2)</f>
        <v>0</v>
      </c>
      <c r="E239" s="142">
        <f>D239*1</f>
        <v>0</v>
      </c>
      <c r="F239" s="143"/>
      <c r="G239" s="79">
        <f>SUM(G224,G227,G230,G233,G236)</f>
        <v>0</v>
      </c>
      <c r="H239" s="142">
        <f>ROUND(G239/12,2)</f>
        <v>0</v>
      </c>
      <c r="I239" s="142">
        <f>H239*1</f>
        <v>0</v>
      </c>
      <c r="J239" s="143"/>
      <c r="K239" s="79">
        <f>SUM(K224,K227,K230,K233,K236)</f>
        <v>0</v>
      </c>
      <c r="L239" s="142">
        <f>ROUND(K239/12,2)</f>
        <v>0</v>
      </c>
      <c r="M239" s="142">
        <f>L239*1</f>
        <v>0</v>
      </c>
      <c r="N239" s="143"/>
      <c r="O239" s="121">
        <f t="shared" si="8"/>
        <v>0</v>
      </c>
      <c r="P239" s="186">
        <f>ROUND(O239/24,2)</f>
        <v>0</v>
      </c>
      <c r="Q239" s="187">
        <f>P239*1</f>
        <v>0</v>
      </c>
      <c r="R239" s="179">
        <v>0</v>
      </c>
    </row>
    <row r="240" spans="1:18" x14ac:dyDescent="0.5">
      <c r="A240" s="58" t="s">
        <v>21</v>
      </c>
      <c r="B240" s="36"/>
      <c r="C240" s="197"/>
      <c r="D240" s="138"/>
      <c r="E240" s="138"/>
      <c r="F240" s="139"/>
      <c r="G240" s="97"/>
      <c r="H240" s="138"/>
      <c r="I240" s="138"/>
      <c r="J240" s="139"/>
      <c r="K240" s="97"/>
      <c r="L240" s="138"/>
      <c r="M240" s="168"/>
      <c r="N240" s="139"/>
      <c r="O240" s="126"/>
      <c r="P240" s="181"/>
      <c r="Q240" s="183"/>
      <c r="R240" s="182"/>
    </row>
    <row r="241" spans="1:18" x14ac:dyDescent="0.5">
      <c r="A241" s="55" t="s">
        <v>41</v>
      </c>
      <c r="B241" s="33" t="s">
        <v>3</v>
      </c>
      <c r="C241" s="195"/>
      <c r="D241" s="134">
        <f>ROUND(C241/18,2)</f>
        <v>0</v>
      </c>
      <c r="E241" s="134"/>
      <c r="F241" s="135">
        <f>SUM(D241,E242:E243)</f>
        <v>0</v>
      </c>
      <c r="G241" s="95"/>
      <c r="H241" s="134">
        <f>ROUND(G241/18,2)</f>
        <v>0</v>
      </c>
      <c r="I241" s="134"/>
      <c r="J241" s="135">
        <f>SUM(H241,I242:I243)</f>
        <v>0</v>
      </c>
      <c r="K241" s="95"/>
      <c r="L241" s="134">
        <f>ROUND(K241/18,2)</f>
        <v>0</v>
      </c>
      <c r="M241" s="134"/>
      <c r="N241" s="135">
        <f>SUM(L241,M242:M243)</f>
        <v>0</v>
      </c>
      <c r="O241" s="115">
        <f>SUM(C241,G241,K241)</f>
        <v>0</v>
      </c>
      <c r="P241" s="174">
        <f>ROUND(O241/36,2)</f>
        <v>0</v>
      </c>
      <c r="Q241" s="175" t="s">
        <v>44</v>
      </c>
      <c r="R241" s="176">
        <f>SUM(P241,Q242:Q243)</f>
        <v>0</v>
      </c>
    </row>
    <row r="242" spans="1:18" x14ac:dyDescent="0.5">
      <c r="A242" s="56"/>
      <c r="B242" s="33" t="s">
        <v>42</v>
      </c>
      <c r="C242" s="195"/>
      <c r="D242" s="134">
        <f>ROUND(C242/12,2)</f>
        <v>0</v>
      </c>
      <c r="E242" s="134">
        <f>D242*1.8</f>
        <v>0</v>
      </c>
      <c r="F242" s="135"/>
      <c r="G242" s="95"/>
      <c r="H242" s="134">
        <f>ROUND(G242/12,2)</f>
        <v>0</v>
      </c>
      <c r="I242" s="134">
        <f>H242*1.8</f>
        <v>0</v>
      </c>
      <c r="J242" s="135"/>
      <c r="K242" s="95"/>
      <c r="L242" s="134">
        <f>ROUND(K242/12,2)</f>
        <v>0</v>
      </c>
      <c r="M242" s="134">
        <f>L242*1.8</f>
        <v>0</v>
      </c>
      <c r="N242" s="135"/>
      <c r="O242" s="119">
        <f>SUM(C242,G242,K242)</f>
        <v>0</v>
      </c>
      <c r="P242" s="175">
        <f>ROUND(O242/24,2)</f>
        <v>0</v>
      </c>
      <c r="Q242" s="175">
        <f>P242*1.8</f>
        <v>0</v>
      </c>
      <c r="R242" s="176">
        <v>0</v>
      </c>
    </row>
    <row r="243" spans="1:18" ht="22.5" thickBot="1" x14ac:dyDescent="0.55000000000000004">
      <c r="A243" s="57"/>
      <c r="B243" s="34" t="s">
        <v>43</v>
      </c>
      <c r="C243" s="80"/>
      <c r="D243" s="136">
        <f>ROUND(C243/12,2)</f>
        <v>0</v>
      </c>
      <c r="E243" s="136">
        <f>D243*1.8</f>
        <v>0</v>
      </c>
      <c r="F243" s="137"/>
      <c r="G243" s="96"/>
      <c r="H243" s="136">
        <f>ROUND(G243/12,2)</f>
        <v>0</v>
      </c>
      <c r="I243" s="136">
        <f>H243*1.8</f>
        <v>0</v>
      </c>
      <c r="J243" s="137"/>
      <c r="K243" s="96"/>
      <c r="L243" s="136">
        <f>ROUND(K243/12,2)</f>
        <v>0</v>
      </c>
      <c r="M243" s="136">
        <f>L243*1.8</f>
        <v>0</v>
      </c>
      <c r="N243" s="137"/>
      <c r="O243" s="125">
        <f>SUM(C243,G243,K243)</f>
        <v>0</v>
      </c>
      <c r="P243" s="178">
        <f>ROUND(O243/24,2)</f>
        <v>0</v>
      </c>
      <c r="Q243" s="178">
        <f>P243*1.8</f>
        <v>0</v>
      </c>
      <c r="R243" s="179">
        <v>0</v>
      </c>
    </row>
    <row r="244" spans="1:18" x14ac:dyDescent="0.5">
      <c r="A244" s="58" t="s">
        <v>22</v>
      </c>
      <c r="B244" s="36"/>
      <c r="C244" s="196"/>
      <c r="D244" s="138"/>
      <c r="E244" s="138"/>
      <c r="F244" s="139"/>
      <c r="G244" s="97"/>
      <c r="H244" s="138"/>
      <c r="I244" s="138"/>
      <c r="J244" s="139"/>
      <c r="K244" s="97"/>
      <c r="L244" s="138"/>
      <c r="M244" s="138"/>
      <c r="N244" s="139"/>
      <c r="O244" s="126"/>
      <c r="P244" s="181"/>
      <c r="Q244" s="181"/>
      <c r="R244" s="182"/>
    </row>
    <row r="245" spans="1:18" x14ac:dyDescent="0.5">
      <c r="A245" s="55" t="s">
        <v>41</v>
      </c>
      <c r="B245" s="33" t="s">
        <v>3</v>
      </c>
      <c r="C245" s="195"/>
      <c r="D245" s="134">
        <f>ROUND(C245/18,2)</f>
        <v>0</v>
      </c>
      <c r="E245" s="134"/>
      <c r="F245" s="135">
        <f>SUM(D245,E246:E247)</f>
        <v>604.20600000000002</v>
      </c>
      <c r="G245" s="95"/>
      <c r="H245" s="134">
        <f>ROUND(G245/18,2)</f>
        <v>0</v>
      </c>
      <c r="I245" s="134"/>
      <c r="J245" s="135">
        <f>SUM(H245,I246:I247)</f>
        <v>536.09399999999994</v>
      </c>
      <c r="K245" s="95"/>
      <c r="L245" s="134">
        <f>ROUND(K245/18,2)</f>
        <v>0</v>
      </c>
      <c r="M245" s="134"/>
      <c r="N245" s="135">
        <f>SUM(L245,M246:M247)</f>
        <v>0</v>
      </c>
      <c r="O245" s="115">
        <f>SUM(C245,G245,K245)</f>
        <v>0</v>
      </c>
      <c r="P245" s="174">
        <f>ROUND(O245/36,2)</f>
        <v>0</v>
      </c>
      <c r="Q245" s="175" t="s">
        <v>44</v>
      </c>
      <c r="R245" s="176">
        <f>SUM(P245,Q246:Q247)</f>
        <v>570.15</v>
      </c>
    </row>
    <row r="246" spans="1:18" x14ac:dyDescent="0.5">
      <c r="A246" s="56"/>
      <c r="B246" s="33" t="s">
        <v>42</v>
      </c>
      <c r="C246" s="195">
        <f>1124+1629+216+615+123+321</f>
        <v>4028</v>
      </c>
      <c r="D246" s="134">
        <f>ROUND(C246/12,2)</f>
        <v>335.67</v>
      </c>
      <c r="E246" s="134">
        <f>D246*1.8</f>
        <v>604.20600000000002</v>
      </c>
      <c r="F246" s="135"/>
      <c r="G246" s="95">
        <f>928+1545+444+336+165+156</f>
        <v>3574</v>
      </c>
      <c r="H246" s="134">
        <f>ROUND(G246/12,2)</f>
        <v>297.83</v>
      </c>
      <c r="I246" s="134">
        <f>H246*1.8</f>
        <v>536.09399999999994</v>
      </c>
      <c r="J246" s="135"/>
      <c r="K246" s="95"/>
      <c r="L246" s="134">
        <f>ROUND(K246/12,2)</f>
        <v>0</v>
      </c>
      <c r="M246" s="134">
        <f>L246*1.8</f>
        <v>0</v>
      </c>
      <c r="N246" s="135"/>
      <c r="O246" s="119">
        <f>SUM(C246,G246,K246)</f>
        <v>7602</v>
      </c>
      <c r="P246" s="175">
        <f>ROUND(O246/24,2)</f>
        <v>316.75</v>
      </c>
      <c r="Q246" s="175">
        <f>P246*1.8</f>
        <v>570.15</v>
      </c>
      <c r="R246" s="176">
        <v>0</v>
      </c>
    </row>
    <row r="247" spans="1:18" ht="22.5" thickBot="1" x14ac:dyDescent="0.55000000000000004">
      <c r="A247" s="57"/>
      <c r="B247" s="34" t="s">
        <v>43</v>
      </c>
      <c r="C247" s="80"/>
      <c r="D247" s="136">
        <f>ROUND(C247/12,2)</f>
        <v>0</v>
      </c>
      <c r="E247" s="136">
        <f>D247*1.8</f>
        <v>0</v>
      </c>
      <c r="F247" s="137"/>
      <c r="G247" s="96"/>
      <c r="H247" s="136">
        <f>ROUND(G247/12,2)</f>
        <v>0</v>
      </c>
      <c r="I247" s="136">
        <f>H247*1.8</f>
        <v>0</v>
      </c>
      <c r="J247" s="137"/>
      <c r="K247" s="96"/>
      <c r="L247" s="136">
        <f>ROUND(K247/12,2)</f>
        <v>0</v>
      </c>
      <c r="M247" s="136">
        <f>L247*1.8</f>
        <v>0</v>
      </c>
      <c r="N247" s="137"/>
      <c r="O247" s="125">
        <f>SUM(C247,G247,K247)</f>
        <v>0</v>
      </c>
      <c r="P247" s="178">
        <f>ROUND(O247/24,2)</f>
        <v>0</v>
      </c>
      <c r="Q247" s="178">
        <f>P247*1.8</f>
        <v>0</v>
      </c>
      <c r="R247" s="179">
        <v>0</v>
      </c>
    </row>
    <row r="248" spans="1:18" x14ac:dyDescent="0.5">
      <c r="A248" s="58" t="s">
        <v>23</v>
      </c>
      <c r="B248" s="36"/>
      <c r="C248" s="197"/>
      <c r="D248" s="138"/>
      <c r="E248" s="138"/>
      <c r="F248" s="139"/>
      <c r="G248" s="97"/>
      <c r="H248" s="138"/>
      <c r="I248" s="138"/>
      <c r="J248" s="139"/>
      <c r="K248" s="97"/>
      <c r="L248" s="138"/>
      <c r="M248" s="138"/>
      <c r="N248" s="139"/>
      <c r="O248" s="126"/>
      <c r="P248" s="181"/>
      <c r="Q248" s="181"/>
      <c r="R248" s="182"/>
    </row>
    <row r="249" spans="1:18" x14ac:dyDescent="0.5">
      <c r="A249" s="70"/>
      <c r="B249" s="33" t="s">
        <v>3</v>
      </c>
      <c r="C249" s="195"/>
      <c r="D249" s="134">
        <f>ROUND(C249/18,2)</f>
        <v>0</v>
      </c>
      <c r="E249" s="134"/>
      <c r="F249" s="135">
        <f>SUM(D249,E250:E251)</f>
        <v>1191.0059999999999</v>
      </c>
      <c r="G249" s="95"/>
      <c r="H249" s="134">
        <f>ROUND(G249/18,2)</f>
        <v>0</v>
      </c>
      <c r="I249" s="134"/>
      <c r="J249" s="135">
        <f>SUM(H249,I250:I251)</f>
        <v>935.55000000000007</v>
      </c>
      <c r="K249" s="95"/>
      <c r="L249" s="134">
        <f>ROUND(K249/18,2)</f>
        <v>0</v>
      </c>
      <c r="M249" s="134"/>
      <c r="N249" s="135">
        <f>SUM(L249,M250:M251)</f>
        <v>472.64400000000001</v>
      </c>
      <c r="O249" s="115">
        <f>SUM(C249,G249,K249)</f>
        <v>0</v>
      </c>
      <c r="P249" s="174">
        <f>ROUND(O249/36,2)</f>
        <v>0</v>
      </c>
      <c r="Q249" s="175" t="s">
        <v>44</v>
      </c>
      <c r="R249" s="176">
        <f>SUM(P249,Q250:Q251)</f>
        <v>1299.6179999999999</v>
      </c>
    </row>
    <row r="250" spans="1:18" x14ac:dyDescent="0.5">
      <c r="A250" s="19"/>
      <c r="B250" s="33" t="s">
        <v>42</v>
      </c>
      <c r="C250" s="195">
        <f>93+6185+532+416</f>
        <v>7226</v>
      </c>
      <c r="D250" s="134">
        <f>ROUND(C250/12,2)</f>
        <v>602.16999999999996</v>
      </c>
      <c r="E250" s="134">
        <f>D250*1.8</f>
        <v>1083.9059999999999</v>
      </c>
      <c r="F250" s="135"/>
      <c r="G250" s="76">
        <f>36+4611+384+306</f>
        <v>5337</v>
      </c>
      <c r="H250" s="134">
        <f>ROUND(G250/12,2)</f>
        <v>444.75</v>
      </c>
      <c r="I250" s="169">
        <f>H250*1.8</f>
        <v>800.55000000000007</v>
      </c>
      <c r="J250" s="135"/>
      <c r="K250" s="95">
        <f>36+2353+126+75</f>
        <v>2590</v>
      </c>
      <c r="L250" s="134">
        <f>ROUND(K250/12,2)</f>
        <v>215.83</v>
      </c>
      <c r="M250" s="134">
        <f t="shared" ref="M250:M251" si="9">L250*1.8</f>
        <v>388.49400000000003</v>
      </c>
      <c r="N250" s="135"/>
      <c r="O250" s="119">
        <f>SUM(C250,G250,K250)</f>
        <v>15153</v>
      </c>
      <c r="P250" s="175">
        <f>ROUND(O250/24,2)</f>
        <v>631.38</v>
      </c>
      <c r="Q250" s="175">
        <f>P250*1.8</f>
        <v>1136.4839999999999</v>
      </c>
      <c r="R250" s="176">
        <v>0</v>
      </c>
    </row>
    <row r="251" spans="1:18" ht="22.5" thickBot="1" x14ac:dyDescent="0.55000000000000004">
      <c r="A251" s="20"/>
      <c r="B251" s="34" t="s">
        <v>43</v>
      </c>
      <c r="C251" s="80">
        <f>714</f>
        <v>714</v>
      </c>
      <c r="D251" s="136">
        <f>ROUND(C251/12,2)</f>
        <v>59.5</v>
      </c>
      <c r="E251" s="136">
        <f>D251*1.8</f>
        <v>107.10000000000001</v>
      </c>
      <c r="F251" s="137"/>
      <c r="G251" s="77">
        <f>900</f>
        <v>900</v>
      </c>
      <c r="H251" s="136">
        <f>ROUND(G251/12,2)</f>
        <v>75</v>
      </c>
      <c r="I251" s="136">
        <f>H251*1.8</f>
        <v>135</v>
      </c>
      <c r="J251" s="137"/>
      <c r="K251" s="96">
        <f>561</f>
        <v>561</v>
      </c>
      <c r="L251" s="136">
        <f>ROUND(K251/12,2)</f>
        <v>46.75</v>
      </c>
      <c r="M251" s="136">
        <f t="shared" si="9"/>
        <v>84.15</v>
      </c>
      <c r="N251" s="137"/>
      <c r="O251" s="125">
        <f>SUM(C251,G251,K251)</f>
        <v>2175</v>
      </c>
      <c r="P251" s="178">
        <f>ROUND(O251/24,2)</f>
        <v>90.63</v>
      </c>
      <c r="Q251" s="178">
        <f>P251*1.8</f>
        <v>163.13399999999999</v>
      </c>
      <c r="R251" s="179">
        <v>0</v>
      </c>
    </row>
    <row r="252" spans="1:18" x14ac:dyDescent="0.5">
      <c r="A252" s="18" t="s">
        <v>24</v>
      </c>
      <c r="B252" s="36"/>
      <c r="C252" s="196"/>
      <c r="D252" s="138"/>
      <c r="E252" s="138"/>
      <c r="F252" s="139"/>
      <c r="G252" s="97"/>
      <c r="H252" s="138"/>
      <c r="I252" s="138"/>
      <c r="J252" s="139"/>
      <c r="K252" s="97"/>
      <c r="L252" s="138"/>
      <c r="M252" s="138"/>
      <c r="N252" s="139"/>
      <c r="O252" s="126"/>
      <c r="P252" s="181"/>
      <c r="Q252" s="181"/>
      <c r="R252" s="182"/>
    </row>
    <row r="253" spans="1:18" x14ac:dyDescent="0.5">
      <c r="A253" s="16" t="s">
        <v>41</v>
      </c>
      <c r="B253" s="33" t="s">
        <v>3</v>
      </c>
      <c r="C253" s="195"/>
      <c r="D253" s="134">
        <f>ROUND(C253/18,2)</f>
        <v>0</v>
      </c>
      <c r="E253" s="134"/>
      <c r="F253" s="135">
        <f>SUM(D253,E254:E255)</f>
        <v>0</v>
      </c>
      <c r="G253" s="95"/>
      <c r="H253" s="134">
        <f>ROUND(G253/18,2)</f>
        <v>0</v>
      </c>
      <c r="I253" s="134"/>
      <c r="J253" s="135">
        <f>SUM(H253,I254:I255)</f>
        <v>0</v>
      </c>
      <c r="K253" s="95"/>
      <c r="L253" s="134">
        <f>ROUND(K253/18,2)</f>
        <v>0</v>
      </c>
      <c r="M253" s="134"/>
      <c r="N253" s="135">
        <f>SUM(L253,M254:M255)</f>
        <v>0</v>
      </c>
      <c r="O253" s="115">
        <f>SUM(C253,G253,K253)</f>
        <v>0</v>
      </c>
      <c r="P253" s="174">
        <f>ROUND(O253/36,2)</f>
        <v>0</v>
      </c>
      <c r="Q253" s="175" t="s">
        <v>44</v>
      </c>
      <c r="R253" s="176">
        <f>SUM(P253,Q254:Q255)</f>
        <v>0</v>
      </c>
    </row>
    <row r="254" spans="1:18" x14ac:dyDescent="0.5">
      <c r="A254" s="19"/>
      <c r="B254" s="33" t="s">
        <v>42</v>
      </c>
      <c r="C254" s="195"/>
      <c r="D254" s="134">
        <f>ROUND(C254/12,2)</f>
        <v>0</v>
      </c>
      <c r="E254" s="134">
        <f>D254*1.8</f>
        <v>0</v>
      </c>
      <c r="F254" s="135"/>
      <c r="G254" s="95"/>
      <c r="H254" s="134">
        <f>ROUND(G254/12,2)</f>
        <v>0</v>
      </c>
      <c r="I254" s="134">
        <f>H254*1.8</f>
        <v>0</v>
      </c>
      <c r="J254" s="135"/>
      <c r="K254" s="95"/>
      <c r="L254" s="134">
        <f>ROUND(K254/12,2)</f>
        <v>0</v>
      </c>
      <c r="M254" s="134">
        <f>L254*1.8</f>
        <v>0</v>
      </c>
      <c r="N254" s="135"/>
      <c r="O254" s="119">
        <f>SUM(C254,G254,K254)</f>
        <v>0</v>
      </c>
      <c r="P254" s="175">
        <f>ROUND(O254/24,2)</f>
        <v>0</v>
      </c>
      <c r="Q254" s="175">
        <f>P254*1.8</f>
        <v>0</v>
      </c>
      <c r="R254" s="176">
        <v>0</v>
      </c>
    </row>
    <row r="255" spans="1:18" ht="22.5" thickBot="1" x14ac:dyDescent="0.55000000000000004">
      <c r="A255" s="20"/>
      <c r="B255" s="34" t="s">
        <v>43</v>
      </c>
      <c r="C255" s="80"/>
      <c r="D255" s="136">
        <f>ROUND(C255/12,2)</f>
        <v>0</v>
      </c>
      <c r="E255" s="136">
        <f>D255*1.8</f>
        <v>0</v>
      </c>
      <c r="F255" s="137"/>
      <c r="G255" s="96"/>
      <c r="H255" s="136">
        <f>ROUND(G255/12,2)</f>
        <v>0</v>
      </c>
      <c r="I255" s="136">
        <f>H255*1.8</f>
        <v>0</v>
      </c>
      <c r="J255" s="137"/>
      <c r="K255" s="96"/>
      <c r="L255" s="136">
        <f>ROUND(K255/12,2)</f>
        <v>0</v>
      </c>
      <c r="M255" s="136">
        <f>L255*1.8</f>
        <v>0</v>
      </c>
      <c r="N255" s="137"/>
      <c r="O255" s="125">
        <f>SUM(C255,G255,K255)</f>
        <v>0</v>
      </c>
      <c r="P255" s="178">
        <f>ROUND(O255/24,2)</f>
        <v>0</v>
      </c>
      <c r="Q255" s="178">
        <f>P255*1.8</f>
        <v>0</v>
      </c>
      <c r="R255" s="179">
        <v>0</v>
      </c>
    </row>
    <row r="256" spans="1:18" s="14" customFormat="1" x14ac:dyDescent="0.5">
      <c r="A256" s="58" t="s">
        <v>25</v>
      </c>
      <c r="B256" s="36"/>
      <c r="C256" s="196"/>
      <c r="D256" s="138"/>
      <c r="E256" s="138"/>
      <c r="F256" s="139"/>
      <c r="G256" s="97"/>
      <c r="H256" s="138"/>
      <c r="I256" s="138"/>
      <c r="J256" s="139"/>
      <c r="K256" s="97"/>
      <c r="L256" s="138"/>
      <c r="M256" s="138"/>
      <c r="N256" s="139"/>
      <c r="O256" s="126"/>
      <c r="P256" s="181"/>
      <c r="Q256" s="181"/>
      <c r="R256" s="182"/>
    </row>
    <row r="257" spans="1:18" s="14" customFormat="1" x14ac:dyDescent="0.5">
      <c r="A257" s="16" t="s">
        <v>41</v>
      </c>
      <c r="B257" s="33" t="s">
        <v>3</v>
      </c>
      <c r="C257" s="195">
        <f>10539</f>
        <v>10539</v>
      </c>
      <c r="D257" s="134">
        <f>ROUND(C257/18,2)</f>
        <v>585.5</v>
      </c>
      <c r="E257" s="134"/>
      <c r="F257" s="135">
        <f>SUM(D257,E258:E259)</f>
        <v>774.19399999999996</v>
      </c>
      <c r="G257" s="76">
        <f>11259</f>
        <v>11259</v>
      </c>
      <c r="H257" s="134">
        <f>ROUND(G257/18,2)</f>
        <v>625.5</v>
      </c>
      <c r="I257" s="134"/>
      <c r="J257" s="135">
        <f>SUM(H257,I258:I259)</f>
        <v>718.50599999999997</v>
      </c>
      <c r="K257" s="95">
        <f>1677</f>
        <v>1677</v>
      </c>
      <c r="L257" s="134">
        <f>ROUND(K257/18,2)</f>
        <v>93.17</v>
      </c>
      <c r="M257" s="134"/>
      <c r="N257" s="135">
        <f>SUM(L257,M258:M259)</f>
        <v>146.26999999999998</v>
      </c>
      <c r="O257" s="115">
        <f>SUM(C257,G257,K257)</f>
        <v>23475</v>
      </c>
      <c r="P257" s="174">
        <f>ROUND(O257/36,2)</f>
        <v>652.08000000000004</v>
      </c>
      <c r="Q257" s="175" t="s">
        <v>44</v>
      </c>
      <c r="R257" s="176">
        <f>SUM(P257,Q258:Q259)</f>
        <v>819.48000000000013</v>
      </c>
    </row>
    <row r="258" spans="1:18" s="14" customFormat="1" x14ac:dyDescent="0.5">
      <c r="A258" s="71"/>
      <c r="B258" s="33" t="s">
        <v>42</v>
      </c>
      <c r="C258" s="195">
        <f>1052+194</f>
        <v>1246</v>
      </c>
      <c r="D258" s="134">
        <f>ROUND(C258/12,2)</f>
        <v>103.83</v>
      </c>
      <c r="E258" s="134">
        <f>D258*1.8</f>
        <v>186.89400000000001</v>
      </c>
      <c r="F258" s="135"/>
      <c r="G258" s="76">
        <f>620</f>
        <v>620</v>
      </c>
      <c r="H258" s="134">
        <f>ROUND(G258/12,2)</f>
        <v>51.67</v>
      </c>
      <c r="I258" s="134">
        <f>H258*1.8</f>
        <v>93.006</v>
      </c>
      <c r="J258" s="135"/>
      <c r="K258" s="95">
        <f>346</f>
        <v>346</v>
      </c>
      <c r="L258" s="134">
        <f>ROUND(K258/12,2)</f>
        <v>28.83</v>
      </c>
      <c r="M258" s="134">
        <f>L258*1.8</f>
        <v>51.893999999999998</v>
      </c>
      <c r="N258" s="135"/>
      <c r="O258" s="119">
        <f>SUM(C258,G258,K258)</f>
        <v>2212</v>
      </c>
      <c r="P258" s="175">
        <f>ROUND(O258/24,2)</f>
        <v>92.17</v>
      </c>
      <c r="Q258" s="175">
        <f>P258*1.8</f>
        <v>165.90600000000001</v>
      </c>
      <c r="R258" s="176">
        <v>0</v>
      </c>
    </row>
    <row r="259" spans="1:18" s="14" customFormat="1" ht="22.5" thickBot="1" x14ac:dyDescent="0.55000000000000004">
      <c r="A259" s="20"/>
      <c r="B259" s="34" t="s">
        <v>43</v>
      </c>
      <c r="C259" s="80">
        <f>12</f>
        <v>12</v>
      </c>
      <c r="D259" s="136">
        <f>ROUND(C259/12,2)</f>
        <v>1</v>
      </c>
      <c r="E259" s="136">
        <f>D259*1.8</f>
        <v>1.8</v>
      </c>
      <c r="F259" s="137"/>
      <c r="G259" s="96"/>
      <c r="H259" s="136">
        <f>ROUND(G259/12,2)</f>
        <v>0</v>
      </c>
      <c r="I259" s="136">
        <f>H259*1.8</f>
        <v>0</v>
      </c>
      <c r="J259" s="137"/>
      <c r="K259" s="96">
        <f>8</f>
        <v>8</v>
      </c>
      <c r="L259" s="136">
        <f>ROUND(K259/12,2)</f>
        <v>0.67</v>
      </c>
      <c r="M259" s="136">
        <f>L259*1.8</f>
        <v>1.2060000000000002</v>
      </c>
      <c r="N259" s="137"/>
      <c r="O259" s="125">
        <f>SUM(C259,G259,K259)</f>
        <v>20</v>
      </c>
      <c r="P259" s="178">
        <f>ROUND(O259/24,2)</f>
        <v>0.83</v>
      </c>
      <c r="Q259" s="178">
        <f>P259*1.8</f>
        <v>1.494</v>
      </c>
      <c r="R259" s="179">
        <v>0</v>
      </c>
    </row>
    <row r="260" spans="1:18" x14ac:dyDescent="0.5">
      <c r="A260" s="21" t="s">
        <v>86</v>
      </c>
      <c r="B260" s="41" t="s">
        <v>3</v>
      </c>
      <c r="C260" s="82">
        <f>SUM(C5,C13,C17,C48,C52,C56,C93,C109,C113,C117,C151,C155,C177,C181,C213,C218,C237,C241,C245,C249,C253,C257)</f>
        <v>199815</v>
      </c>
      <c r="D260" s="147">
        <f>SUM(D5,D13,D17,D48,D52,D56,D93,D109,D113,D117,D151,D155,D177,D181,D213,D218,D237,D241,D245,D249,D253,D257)</f>
        <v>11100.830000000004</v>
      </c>
      <c r="E260" s="147"/>
      <c r="F260" s="148">
        <f>ROUND(SUM(D260,E261:E263),2)</f>
        <v>15581.82</v>
      </c>
      <c r="G260" s="98">
        <f>SUM(G5,G13,G17,G48,G52,G56,G93,G109,G113,G117,G151,G155,G177,G181,G213,G218,G237,G241,G245,G249,G253,G257)</f>
        <v>168809</v>
      </c>
      <c r="H260" s="147">
        <f>SUM(H5,H13,H17,H48,H52,H56,H93,H109,H113,H117,H151,H155,H177,H181,H213,H218,H237,H241,H245,H249,H253,H257)</f>
        <v>9378.27</v>
      </c>
      <c r="I260" s="147"/>
      <c r="J260" s="148">
        <f>ROUND(SUM(H260,I261:I263),2)</f>
        <v>13148.75</v>
      </c>
      <c r="K260" s="98">
        <f>SUM(K5,K13,K17,K48,K52,K56,K93,K109,K113,K117,K151,K155,K177,K181,K213,K218,K237,K241,K245,K249,K253,K257)</f>
        <v>69990</v>
      </c>
      <c r="L260" s="147">
        <f>SUM(L5,L13,L17,L48,L52,L56,L93,L109,L113,L117,L151,L155,L177,L181,L213,L218,L237,L241,L245,L249,L253,L257)</f>
        <v>3888.3200000000006</v>
      </c>
      <c r="M260" s="147"/>
      <c r="N260" s="148">
        <f>ROUND(SUM(L260,M261:M263),2)</f>
        <v>5314.35</v>
      </c>
      <c r="O260" s="82">
        <f>SUM(O5,O13,O17,O48,O52,O56,O93,O109,O113,O117,O151,O155,O177,O181,O213,O218,O237,O241,O245,O249,O253,O257)</f>
        <v>438614</v>
      </c>
      <c r="P260" s="147">
        <f>SUM(P5,P13,P17,P48,P52,P56,P93,P109,P113,P117,P151,P155,P177,P181,P213,P218,P237,P241,P245,P249,P253,P257)</f>
        <v>12183.71</v>
      </c>
      <c r="Q260" s="147">
        <f>SUM(Q5,Q13,Q17,Q48,Q52,Q56,Q93,Q109,Q113,Q117,Q151,Q155,Q177,Q181,Q213,Q218,Q237,Q241,Q245,Q249,Q253,Q257)</f>
        <v>0</v>
      </c>
      <c r="R260" s="148">
        <f>ROUND(SUM(P260,Q261:Q263),2)</f>
        <v>17022.53</v>
      </c>
    </row>
    <row r="261" spans="1:18" x14ac:dyDescent="0.5">
      <c r="A261" s="22"/>
      <c r="B261" s="41" t="s">
        <v>76</v>
      </c>
      <c r="C261" s="82">
        <f>SUM(C214)</f>
        <v>0</v>
      </c>
      <c r="D261" s="147">
        <f>SUM(D214)</f>
        <v>0</v>
      </c>
      <c r="E261" s="147">
        <f>SUM(E214)</f>
        <v>0</v>
      </c>
      <c r="F261" s="149">
        <v>0</v>
      </c>
      <c r="G261" s="98">
        <f>SUM(G214)</f>
        <v>0</v>
      </c>
      <c r="H261" s="147">
        <f>SUM(H214)</f>
        <v>0</v>
      </c>
      <c r="I261" s="147">
        <f>SUM(I214)</f>
        <v>0</v>
      </c>
      <c r="J261" s="149">
        <v>0</v>
      </c>
      <c r="K261" s="98">
        <f>SUM(K214)</f>
        <v>0</v>
      </c>
      <c r="L261" s="147">
        <f>SUM(L214)</f>
        <v>0</v>
      </c>
      <c r="M261" s="147">
        <f>SUM(M214)</f>
        <v>0</v>
      </c>
      <c r="N261" s="149">
        <v>0</v>
      </c>
      <c r="O261" s="82">
        <f>SUM(O214)</f>
        <v>0</v>
      </c>
      <c r="P261" s="147">
        <f>SUM(P214)</f>
        <v>0</v>
      </c>
      <c r="Q261" s="147">
        <f>SUM(Q214)</f>
        <v>0</v>
      </c>
      <c r="R261" s="149">
        <v>0</v>
      </c>
    </row>
    <row r="262" spans="1:18" x14ac:dyDescent="0.5">
      <c r="A262" s="22"/>
      <c r="B262" s="41" t="s">
        <v>42</v>
      </c>
      <c r="C262" s="83">
        <f t="shared" ref="C262:E263" si="10">SUM(C6,C14,C18,C49,C53,C57,C94,C110,C114,C118,C152,C156,C178,C182,C215,C219,C238,C242,C246,C250,C254,C258)</f>
        <v>30290</v>
      </c>
      <c r="D262" s="150">
        <f t="shared" si="10"/>
        <v>2524.16</v>
      </c>
      <c r="E262" s="150">
        <f t="shared" si="10"/>
        <v>4264.2389999999996</v>
      </c>
      <c r="F262" s="149">
        <v>0</v>
      </c>
      <c r="G262" s="99">
        <f t="shared" ref="G262:I263" si="11">SUM(G6,G14,G18,G49,G53,G57,G94,G110,G114,G118,G152,G156,G178,G182,G215,G219,G238,G242,G246,G250,G254,G258)</f>
        <v>25341</v>
      </c>
      <c r="H262" s="150">
        <f t="shared" si="11"/>
        <v>2111.7600000000002</v>
      </c>
      <c r="I262" s="150">
        <f t="shared" si="11"/>
        <v>3561.9760000000001</v>
      </c>
      <c r="J262" s="149">
        <v>0</v>
      </c>
      <c r="K262" s="99">
        <f t="shared" ref="K262:M263" si="12">SUM(K6,K14,K18,K49,K53,K57,K94,K110,K114,K118,K152,K156,K178,K182,K215,K219,K238,K242,K246,K250,K254,K258)</f>
        <v>9793</v>
      </c>
      <c r="L262" s="150">
        <f t="shared" si="12"/>
        <v>816.07</v>
      </c>
      <c r="M262" s="150">
        <f t="shared" si="12"/>
        <v>1325.077</v>
      </c>
      <c r="N262" s="149">
        <v>0</v>
      </c>
      <c r="O262" s="83">
        <f t="shared" ref="O262:Q263" si="13">SUM(O6,O14,O18,O49,O53,O57,O94,O110,O114,O118,O152,O156,O178,O182,O215,O219,O238,O242,O246,O250,O254,O258)</f>
        <v>65424</v>
      </c>
      <c r="P262" s="150">
        <f t="shared" si="13"/>
        <v>2726.03</v>
      </c>
      <c r="Q262" s="150">
        <f t="shared" si="13"/>
        <v>4575.7060000000001</v>
      </c>
      <c r="R262" s="149">
        <v>0</v>
      </c>
    </row>
    <row r="263" spans="1:18" ht="22.5" thickBot="1" x14ac:dyDescent="0.55000000000000004">
      <c r="A263" s="23"/>
      <c r="B263" s="42" t="s">
        <v>43</v>
      </c>
      <c r="C263" s="84">
        <f t="shared" si="10"/>
        <v>1560</v>
      </c>
      <c r="D263" s="151">
        <f t="shared" si="10"/>
        <v>130</v>
      </c>
      <c r="E263" s="151">
        <f t="shared" si="10"/>
        <v>216.75</v>
      </c>
      <c r="F263" s="152">
        <v>0</v>
      </c>
      <c r="G263" s="100">
        <f t="shared" si="11"/>
        <v>1443</v>
      </c>
      <c r="H263" s="151">
        <f t="shared" si="11"/>
        <v>120.25</v>
      </c>
      <c r="I263" s="151">
        <f t="shared" si="11"/>
        <v>208.5</v>
      </c>
      <c r="J263" s="152">
        <v>0</v>
      </c>
      <c r="K263" s="100">
        <f t="shared" si="12"/>
        <v>677</v>
      </c>
      <c r="L263" s="151">
        <f t="shared" si="12"/>
        <v>56.42</v>
      </c>
      <c r="M263" s="151">
        <f t="shared" si="12"/>
        <v>100.956</v>
      </c>
      <c r="N263" s="152">
        <v>0</v>
      </c>
      <c r="O263" s="84">
        <f t="shared" si="13"/>
        <v>3680</v>
      </c>
      <c r="P263" s="151">
        <f t="shared" si="13"/>
        <v>153.34</v>
      </c>
      <c r="Q263" s="151">
        <f t="shared" si="13"/>
        <v>263.11200000000002</v>
      </c>
      <c r="R263" s="152">
        <v>0</v>
      </c>
    </row>
    <row r="264" spans="1:18" x14ac:dyDescent="0.5">
      <c r="A264" s="24" t="s">
        <v>87</v>
      </c>
      <c r="B264" s="43"/>
      <c r="C264" s="87"/>
      <c r="D264" s="155"/>
      <c r="E264" s="155"/>
      <c r="F264" s="156"/>
      <c r="G264" s="101"/>
      <c r="H264" s="155"/>
      <c r="I264" s="171"/>
      <c r="J264" s="156"/>
      <c r="K264" s="112"/>
      <c r="L264" s="155"/>
      <c r="M264" s="171"/>
      <c r="N264" s="156"/>
      <c r="O264" s="127"/>
      <c r="P264" s="171"/>
      <c r="Q264" s="171"/>
      <c r="R264" s="188"/>
    </row>
    <row r="265" spans="1:18" x14ac:dyDescent="0.5">
      <c r="A265" s="54" t="s">
        <v>26</v>
      </c>
      <c r="B265" s="44"/>
      <c r="C265" s="195"/>
      <c r="D265" s="134"/>
      <c r="E265" s="134"/>
      <c r="F265" s="135"/>
      <c r="G265" s="95"/>
      <c r="H265" s="134"/>
      <c r="I265" s="169"/>
      <c r="J265" s="135"/>
      <c r="K265" s="78"/>
      <c r="L265" s="134"/>
      <c r="M265" s="169"/>
      <c r="N265" s="135"/>
      <c r="O265" s="122"/>
      <c r="P265" s="174"/>
      <c r="Q265" s="174"/>
      <c r="R265" s="176"/>
    </row>
    <row r="266" spans="1:18" x14ac:dyDescent="0.5">
      <c r="A266" s="55" t="s">
        <v>41</v>
      </c>
      <c r="B266" s="33" t="s">
        <v>3</v>
      </c>
      <c r="C266" s="195">
        <f>8+15</f>
        <v>23</v>
      </c>
      <c r="D266" s="134">
        <f>ROUND(C266/18,2)</f>
        <v>1.28</v>
      </c>
      <c r="E266" s="134"/>
      <c r="F266" s="135">
        <f>SUM(D266,E267:E268)</f>
        <v>1.28</v>
      </c>
      <c r="G266" s="95">
        <v>8</v>
      </c>
      <c r="H266" s="134">
        <f>ROUND(G266/18,2)</f>
        <v>0.44</v>
      </c>
      <c r="I266" s="134"/>
      <c r="J266" s="135">
        <f>SUM(H266,I267:I268)</f>
        <v>0.44</v>
      </c>
      <c r="K266" s="95"/>
      <c r="L266" s="134">
        <f>ROUND(K266/18,2)</f>
        <v>0</v>
      </c>
      <c r="M266" s="134"/>
      <c r="N266" s="135">
        <f>SUM(L266,M267:M268)</f>
        <v>0</v>
      </c>
      <c r="O266" s="115">
        <f>SUM(C266,G266,K266)</f>
        <v>31</v>
      </c>
      <c r="P266" s="174">
        <f>ROUND(O266/36,2)</f>
        <v>0.86</v>
      </c>
      <c r="Q266" s="175" t="s">
        <v>44</v>
      </c>
      <c r="R266" s="176">
        <f>SUM(P266,Q267:Q268)</f>
        <v>0.86</v>
      </c>
    </row>
    <row r="267" spans="1:18" x14ac:dyDescent="0.5">
      <c r="A267" s="56"/>
      <c r="B267" s="33" t="s">
        <v>42</v>
      </c>
      <c r="C267" s="195"/>
      <c r="D267" s="134">
        <f>ROUND(C267/12,2)</f>
        <v>0</v>
      </c>
      <c r="E267" s="134">
        <f>D267*2</f>
        <v>0</v>
      </c>
      <c r="F267" s="135"/>
      <c r="G267" s="95"/>
      <c r="H267" s="134">
        <f>ROUND(G267/12,2)</f>
        <v>0</v>
      </c>
      <c r="I267" s="134">
        <f>H267*2</f>
        <v>0</v>
      </c>
      <c r="J267" s="135"/>
      <c r="K267" s="95"/>
      <c r="L267" s="134">
        <f>ROUND(K267/12,2)</f>
        <v>0</v>
      </c>
      <c r="M267" s="134">
        <f>L267*2</f>
        <v>0</v>
      </c>
      <c r="N267" s="135"/>
      <c r="O267" s="119">
        <f>SUM(C267,G267,K267)</f>
        <v>0</v>
      </c>
      <c r="P267" s="175">
        <f>ROUND(O267/24,2)</f>
        <v>0</v>
      </c>
      <c r="Q267" s="175">
        <f>P267*2</f>
        <v>0</v>
      </c>
      <c r="R267" s="176">
        <v>0</v>
      </c>
    </row>
    <row r="268" spans="1:18" ht="22.5" thickBot="1" x14ac:dyDescent="0.55000000000000004">
      <c r="A268" s="57"/>
      <c r="B268" s="34" t="s">
        <v>43</v>
      </c>
      <c r="C268" s="80"/>
      <c r="D268" s="136">
        <f>ROUND(C268/12,2)</f>
        <v>0</v>
      </c>
      <c r="E268" s="136">
        <f>D268*2</f>
        <v>0</v>
      </c>
      <c r="F268" s="137"/>
      <c r="G268" s="96"/>
      <c r="H268" s="136">
        <f>ROUND(G268/12,2)</f>
        <v>0</v>
      </c>
      <c r="I268" s="136">
        <f>H268*2</f>
        <v>0</v>
      </c>
      <c r="J268" s="137"/>
      <c r="K268" s="96"/>
      <c r="L268" s="136">
        <f>ROUND(K268/12,2)</f>
        <v>0</v>
      </c>
      <c r="M268" s="136">
        <f>L268*2</f>
        <v>0</v>
      </c>
      <c r="N268" s="137"/>
      <c r="O268" s="125">
        <f>SUM(C268,G268,K268)</f>
        <v>0</v>
      </c>
      <c r="P268" s="178">
        <f>ROUND(O268/24,2)</f>
        <v>0</v>
      </c>
      <c r="Q268" s="178">
        <f>P268*2</f>
        <v>0</v>
      </c>
      <c r="R268" s="179">
        <v>0</v>
      </c>
    </row>
    <row r="269" spans="1:18" x14ac:dyDescent="0.5">
      <c r="A269" s="58" t="s">
        <v>27</v>
      </c>
      <c r="B269" s="36"/>
      <c r="C269" s="196"/>
      <c r="D269" s="138"/>
      <c r="E269" s="138"/>
      <c r="F269" s="139"/>
      <c r="G269" s="97"/>
      <c r="H269" s="138"/>
      <c r="I269" s="168"/>
      <c r="J269" s="139"/>
      <c r="K269" s="111"/>
      <c r="L269" s="138"/>
      <c r="M269" s="168"/>
      <c r="N269" s="139"/>
      <c r="O269" s="124"/>
      <c r="P269" s="183"/>
      <c r="Q269" s="183"/>
      <c r="R269" s="182"/>
    </row>
    <row r="270" spans="1:18" x14ac:dyDescent="0.5">
      <c r="A270" s="55" t="s">
        <v>41</v>
      </c>
      <c r="B270" s="33" t="s">
        <v>3</v>
      </c>
      <c r="C270" s="195">
        <f>22+3</f>
        <v>25</v>
      </c>
      <c r="D270" s="134">
        <f>ROUND(C270/18,2)</f>
        <v>1.39</v>
      </c>
      <c r="E270" s="134"/>
      <c r="F270" s="135">
        <f>SUM(D270,E271:E272)</f>
        <v>1.39</v>
      </c>
      <c r="G270" s="95">
        <f>3+3+3</f>
        <v>9</v>
      </c>
      <c r="H270" s="134">
        <f>ROUND(G270/18,2)</f>
        <v>0.5</v>
      </c>
      <c r="I270" s="134"/>
      <c r="J270" s="135">
        <f>SUM(H270,I271:I272)</f>
        <v>0.5</v>
      </c>
      <c r="K270" s="95"/>
      <c r="L270" s="134">
        <f>ROUND(K270/18,2)</f>
        <v>0</v>
      </c>
      <c r="M270" s="134"/>
      <c r="N270" s="135">
        <f>SUM(L270,M271:M272)</f>
        <v>0</v>
      </c>
      <c r="O270" s="115">
        <f>SUM(C270,G270,K270)</f>
        <v>34</v>
      </c>
      <c r="P270" s="174">
        <f>ROUND(O270/36,2)</f>
        <v>0.94</v>
      </c>
      <c r="Q270" s="175" t="s">
        <v>44</v>
      </c>
      <c r="R270" s="176">
        <f>SUM(P270,Q271:Q272)</f>
        <v>0.94</v>
      </c>
    </row>
    <row r="271" spans="1:18" x14ac:dyDescent="0.5">
      <c r="A271" s="56"/>
      <c r="B271" s="33" t="s">
        <v>42</v>
      </c>
      <c r="C271" s="195"/>
      <c r="D271" s="134">
        <f>ROUND(C271/12,2)</f>
        <v>0</v>
      </c>
      <c r="E271" s="134">
        <f>D271*2</f>
        <v>0</v>
      </c>
      <c r="F271" s="135"/>
      <c r="G271" s="95"/>
      <c r="H271" s="134">
        <f>ROUND(G271/12,2)</f>
        <v>0</v>
      </c>
      <c r="I271" s="134">
        <f>H271*2</f>
        <v>0</v>
      </c>
      <c r="J271" s="135"/>
      <c r="K271" s="95"/>
      <c r="L271" s="134">
        <f>ROUND(K271/12,2)</f>
        <v>0</v>
      </c>
      <c r="M271" s="134">
        <f>L271*2</f>
        <v>0</v>
      </c>
      <c r="N271" s="135"/>
      <c r="O271" s="119">
        <f>SUM(C271,G271,K271)</f>
        <v>0</v>
      </c>
      <c r="P271" s="175">
        <f>ROUND(O271/24,2)</f>
        <v>0</v>
      </c>
      <c r="Q271" s="175">
        <f>P271*2</f>
        <v>0</v>
      </c>
      <c r="R271" s="176">
        <v>0</v>
      </c>
    </row>
    <row r="272" spans="1:18" ht="22.5" thickBot="1" x14ac:dyDescent="0.55000000000000004">
      <c r="A272" s="57"/>
      <c r="B272" s="34" t="s">
        <v>43</v>
      </c>
      <c r="C272" s="80"/>
      <c r="D272" s="136">
        <f>ROUND(C272/12,2)</f>
        <v>0</v>
      </c>
      <c r="E272" s="136">
        <f>D272*2</f>
        <v>0</v>
      </c>
      <c r="F272" s="137"/>
      <c r="G272" s="96"/>
      <c r="H272" s="136">
        <f>ROUND(G272/12,2)</f>
        <v>0</v>
      </c>
      <c r="I272" s="136">
        <f>H272*2</f>
        <v>0</v>
      </c>
      <c r="J272" s="137"/>
      <c r="K272" s="96"/>
      <c r="L272" s="136">
        <f>ROUND(K272/12,2)</f>
        <v>0</v>
      </c>
      <c r="M272" s="136">
        <f>L272*2</f>
        <v>0</v>
      </c>
      <c r="N272" s="137"/>
      <c r="O272" s="125">
        <f>SUM(C272,G272,K272)</f>
        <v>0</v>
      </c>
      <c r="P272" s="178">
        <f>ROUND(O272/24,2)</f>
        <v>0</v>
      </c>
      <c r="Q272" s="178">
        <f>P272*2</f>
        <v>0</v>
      </c>
      <c r="R272" s="179">
        <v>0</v>
      </c>
    </row>
    <row r="273" spans="1:18" s="14" customFormat="1" x14ac:dyDescent="0.5">
      <c r="A273" s="58" t="s">
        <v>28</v>
      </c>
      <c r="B273" s="36"/>
      <c r="C273" s="196"/>
      <c r="D273" s="138"/>
      <c r="E273" s="138"/>
      <c r="F273" s="139"/>
      <c r="G273" s="97"/>
      <c r="H273" s="138"/>
      <c r="I273" s="168"/>
      <c r="J273" s="139"/>
      <c r="K273" s="111"/>
      <c r="L273" s="138"/>
      <c r="M273" s="168"/>
      <c r="N273" s="139"/>
      <c r="O273" s="124"/>
      <c r="P273" s="183"/>
      <c r="Q273" s="183"/>
      <c r="R273" s="182"/>
    </row>
    <row r="274" spans="1:18" s="14" customFormat="1" x14ac:dyDescent="0.5">
      <c r="A274" s="16" t="s">
        <v>41</v>
      </c>
      <c r="B274" s="33" t="s">
        <v>3</v>
      </c>
      <c r="C274" s="195">
        <f>5+13</f>
        <v>18</v>
      </c>
      <c r="D274" s="134">
        <f>ROUND(C274/18,2)</f>
        <v>1</v>
      </c>
      <c r="E274" s="134"/>
      <c r="F274" s="135">
        <f>SUM(D274,E275:E276)</f>
        <v>1</v>
      </c>
      <c r="G274" s="95"/>
      <c r="H274" s="134">
        <f>ROUND(G274/18,2)</f>
        <v>0</v>
      </c>
      <c r="I274" s="134"/>
      <c r="J274" s="135">
        <f>SUM(H274,I275:I276)</f>
        <v>0</v>
      </c>
      <c r="K274" s="95"/>
      <c r="L274" s="134">
        <f>ROUND(K274/18,2)</f>
        <v>0</v>
      </c>
      <c r="M274" s="134"/>
      <c r="N274" s="135">
        <f>SUM(L274,M275:M276)</f>
        <v>0</v>
      </c>
      <c r="O274" s="115">
        <f>SUM(C274,G274,K274)</f>
        <v>18</v>
      </c>
      <c r="P274" s="174">
        <f>ROUND(O274/36,2)</f>
        <v>0.5</v>
      </c>
      <c r="Q274" s="175" t="s">
        <v>44</v>
      </c>
      <c r="R274" s="176">
        <f>SUM(P274,Q275:Q276)</f>
        <v>0.5</v>
      </c>
    </row>
    <row r="275" spans="1:18" s="14" customFormat="1" x14ac:dyDescent="0.5">
      <c r="A275" s="19"/>
      <c r="B275" s="33" t="s">
        <v>42</v>
      </c>
      <c r="C275" s="195"/>
      <c r="D275" s="134">
        <f>ROUND(C275/12,2)</f>
        <v>0</v>
      </c>
      <c r="E275" s="134">
        <f>D275*2</f>
        <v>0</v>
      </c>
      <c r="F275" s="135"/>
      <c r="G275" s="95"/>
      <c r="H275" s="134">
        <f>ROUND(G275/12,2)</f>
        <v>0</v>
      </c>
      <c r="I275" s="134">
        <f>H275*2</f>
        <v>0</v>
      </c>
      <c r="J275" s="135"/>
      <c r="K275" s="95"/>
      <c r="L275" s="134">
        <f>ROUND(K275/12,2)</f>
        <v>0</v>
      </c>
      <c r="M275" s="134">
        <f>L275*2</f>
        <v>0</v>
      </c>
      <c r="N275" s="135"/>
      <c r="O275" s="119">
        <f>SUM(C275,G275,K275)</f>
        <v>0</v>
      </c>
      <c r="P275" s="175">
        <f>ROUND(O275/24,2)</f>
        <v>0</v>
      </c>
      <c r="Q275" s="175">
        <f>P275*2</f>
        <v>0</v>
      </c>
      <c r="R275" s="176">
        <v>0</v>
      </c>
    </row>
    <row r="276" spans="1:18" ht="22.5" thickBot="1" x14ac:dyDescent="0.55000000000000004">
      <c r="A276" s="20"/>
      <c r="B276" s="34" t="s">
        <v>43</v>
      </c>
      <c r="C276" s="80"/>
      <c r="D276" s="136">
        <f>ROUND(C276/12,2)</f>
        <v>0</v>
      </c>
      <c r="E276" s="136">
        <f>D276*2</f>
        <v>0</v>
      </c>
      <c r="F276" s="137"/>
      <c r="G276" s="96"/>
      <c r="H276" s="136">
        <f>ROUND(G276/12,2)</f>
        <v>0</v>
      </c>
      <c r="I276" s="136">
        <f>H276*2</f>
        <v>0</v>
      </c>
      <c r="J276" s="137"/>
      <c r="K276" s="96"/>
      <c r="L276" s="136">
        <f>ROUND(K276/12,2)</f>
        <v>0</v>
      </c>
      <c r="M276" s="136">
        <f>L276*2</f>
        <v>0</v>
      </c>
      <c r="N276" s="137"/>
      <c r="O276" s="125">
        <f>SUM(C276,G276,K276)</f>
        <v>0</v>
      </c>
      <c r="P276" s="178">
        <f>ROUND(O276/24,2)</f>
        <v>0</v>
      </c>
      <c r="Q276" s="178">
        <f>P276*2</f>
        <v>0</v>
      </c>
      <c r="R276" s="179">
        <v>0</v>
      </c>
    </row>
    <row r="277" spans="1:18" x14ac:dyDescent="0.5">
      <c r="A277" s="21" t="s">
        <v>88</v>
      </c>
      <c r="B277" s="41" t="s">
        <v>3</v>
      </c>
      <c r="C277" s="82">
        <f t="shared" ref="C277:D279" si="14">SUM(C266,C270,C274)</f>
        <v>66</v>
      </c>
      <c r="D277" s="147">
        <f t="shared" si="14"/>
        <v>3.67</v>
      </c>
      <c r="E277" s="150"/>
      <c r="F277" s="148">
        <f>ROUND(SUM(D277,E278:E279),2)</f>
        <v>3.67</v>
      </c>
      <c r="G277" s="98">
        <f t="shared" ref="G277:H279" si="15">SUM(G266,G270,G274)</f>
        <v>17</v>
      </c>
      <c r="H277" s="147">
        <f t="shared" si="15"/>
        <v>0.94</v>
      </c>
      <c r="I277" s="150"/>
      <c r="J277" s="148">
        <f>ROUND(SUM(H277,I278:I279),2)</f>
        <v>0.94</v>
      </c>
      <c r="K277" s="98">
        <f t="shared" ref="K277:L279" si="16">SUM(K266,K270,K274)</f>
        <v>0</v>
      </c>
      <c r="L277" s="147">
        <f t="shared" si="16"/>
        <v>0</v>
      </c>
      <c r="M277" s="150"/>
      <c r="N277" s="148">
        <f>ROUND(SUM(L277,M278:M279),2)</f>
        <v>0</v>
      </c>
      <c r="O277" s="82">
        <f t="shared" ref="O277:P279" si="17">SUM(O266,O270,O274)</f>
        <v>83</v>
      </c>
      <c r="P277" s="147">
        <f t="shared" si="17"/>
        <v>2.2999999999999998</v>
      </c>
      <c r="Q277" s="150"/>
      <c r="R277" s="148">
        <f>ROUND(SUM(P277,Q278:Q279),2)</f>
        <v>2.2999999999999998</v>
      </c>
    </row>
    <row r="278" spans="1:18" x14ac:dyDescent="0.5">
      <c r="A278" s="22"/>
      <c r="B278" s="41" t="s">
        <v>42</v>
      </c>
      <c r="C278" s="83">
        <f t="shared" si="14"/>
        <v>0</v>
      </c>
      <c r="D278" s="150">
        <f t="shared" si="14"/>
        <v>0</v>
      </c>
      <c r="E278" s="150">
        <f>SUM(E267,E271,E275)</f>
        <v>0</v>
      </c>
      <c r="F278" s="149">
        <v>0</v>
      </c>
      <c r="G278" s="99">
        <f t="shared" si="15"/>
        <v>0</v>
      </c>
      <c r="H278" s="150">
        <f t="shared" si="15"/>
        <v>0</v>
      </c>
      <c r="I278" s="150">
        <f>SUM(I267,I271,I275)</f>
        <v>0</v>
      </c>
      <c r="J278" s="149">
        <v>0</v>
      </c>
      <c r="K278" s="99">
        <f t="shared" si="16"/>
        <v>0</v>
      </c>
      <c r="L278" s="150">
        <f t="shared" si="16"/>
        <v>0</v>
      </c>
      <c r="M278" s="150">
        <f>SUM(M267,M271,M275)</f>
        <v>0</v>
      </c>
      <c r="N278" s="149">
        <v>0</v>
      </c>
      <c r="O278" s="83">
        <f t="shared" si="17"/>
        <v>0</v>
      </c>
      <c r="P278" s="150">
        <f t="shared" si="17"/>
        <v>0</v>
      </c>
      <c r="Q278" s="150">
        <f>SUM(Q267,Q271,Q275)</f>
        <v>0</v>
      </c>
      <c r="R278" s="149">
        <v>0</v>
      </c>
    </row>
    <row r="279" spans="1:18" ht="22.5" thickBot="1" x14ac:dyDescent="0.55000000000000004">
      <c r="A279" s="23"/>
      <c r="B279" s="42" t="s">
        <v>43</v>
      </c>
      <c r="C279" s="84">
        <f t="shared" si="14"/>
        <v>0</v>
      </c>
      <c r="D279" s="151">
        <f t="shared" si="14"/>
        <v>0</v>
      </c>
      <c r="E279" s="151">
        <f>SUM(E268,E272,E276)</f>
        <v>0</v>
      </c>
      <c r="F279" s="152">
        <v>0</v>
      </c>
      <c r="G279" s="100">
        <f t="shared" si="15"/>
        <v>0</v>
      </c>
      <c r="H279" s="151">
        <f t="shared" si="15"/>
        <v>0</v>
      </c>
      <c r="I279" s="151">
        <f>SUM(I268,I272,I276)</f>
        <v>0</v>
      </c>
      <c r="J279" s="152">
        <v>0</v>
      </c>
      <c r="K279" s="100">
        <f t="shared" si="16"/>
        <v>0</v>
      </c>
      <c r="L279" s="151">
        <f>SUM(L268,L272,L276)</f>
        <v>0</v>
      </c>
      <c r="M279" s="151">
        <f>SUM(M268,M272,M276)</f>
        <v>0</v>
      </c>
      <c r="N279" s="152">
        <v>0</v>
      </c>
      <c r="O279" s="84">
        <f t="shared" si="17"/>
        <v>0</v>
      </c>
      <c r="P279" s="151">
        <f t="shared" si="17"/>
        <v>0</v>
      </c>
      <c r="Q279" s="151">
        <f>SUM(Q268,Q272,Q276)</f>
        <v>0</v>
      </c>
      <c r="R279" s="152">
        <v>0</v>
      </c>
    </row>
    <row r="280" spans="1:18" x14ac:dyDescent="0.5">
      <c r="A280" s="49"/>
      <c r="B280" s="50"/>
      <c r="C280" s="85"/>
      <c r="D280" s="153"/>
      <c r="E280" s="153"/>
      <c r="F280" s="153"/>
      <c r="G280" s="85"/>
      <c r="H280" s="153"/>
      <c r="I280" s="153"/>
      <c r="J280" s="153"/>
      <c r="K280" s="85"/>
      <c r="L280" s="153"/>
      <c r="M280" s="153"/>
      <c r="N280" s="153"/>
      <c r="O280" s="85"/>
      <c r="P280" s="153"/>
      <c r="Q280" s="153"/>
      <c r="R280" s="153"/>
    </row>
    <row r="281" spans="1:18" x14ac:dyDescent="0.5">
      <c r="A281" s="51"/>
      <c r="B281" s="52"/>
      <c r="C281" s="86"/>
      <c r="D281" s="154"/>
      <c r="E281" s="154"/>
      <c r="F281" s="154"/>
      <c r="G281" s="86"/>
      <c r="H281" s="154"/>
      <c r="I281" s="154"/>
      <c r="J281" s="154"/>
      <c r="K281" s="86"/>
      <c r="L281" s="154"/>
      <c r="M281" s="154"/>
      <c r="N281" s="154"/>
      <c r="O281" s="86"/>
      <c r="P281" s="154"/>
      <c r="Q281" s="154"/>
      <c r="R281" s="154"/>
    </row>
    <row r="282" spans="1:18" x14ac:dyDescent="0.5">
      <c r="A282" s="24" t="s">
        <v>89</v>
      </c>
      <c r="B282" s="43"/>
      <c r="C282" s="87"/>
      <c r="D282" s="155"/>
      <c r="E282" s="155"/>
      <c r="F282" s="156"/>
      <c r="G282" s="101"/>
      <c r="H282" s="155"/>
      <c r="I282" s="171"/>
      <c r="J282" s="156"/>
      <c r="K282" s="112"/>
      <c r="L282" s="155"/>
      <c r="M282" s="171"/>
      <c r="N282" s="156"/>
      <c r="O282" s="127"/>
      <c r="P282" s="171"/>
      <c r="Q282" s="171"/>
      <c r="R282" s="188"/>
    </row>
    <row r="283" spans="1:18" x14ac:dyDescent="0.5">
      <c r="A283" s="25" t="s">
        <v>29</v>
      </c>
      <c r="B283" s="44"/>
      <c r="C283" s="195"/>
      <c r="D283" s="134"/>
      <c r="E283" s="134"/>
      <c r="F283" s="135"/>
      <c r="G283" s="95"/>
      <c r="H283" s="134"/>
      <c r="I283" s="169"/>
      <c r="J283" s="135"/>
      <c r="K283" s="78"/>
      <c r="L283" s="134"/>
      <c r="M283" s="169"/>
      <c r="N283" s="135"/>
      <c r="O283" s="122"/>
      <c r="P283" s="174"/>
      <c r="Q283" s="174"/>
      <c r="R283" s="176"/>
    </row>
    <row r="284" spans="1:18" x14ac:dyDescent="0.5">
      <c r="A284" s="16" t="s">
        <v>41</v>
      </c>
      <c r="B284" s="33" t="s">
        <v>3</v>
      </c>
      <c r="C284" s="195">
        <f>1350+145</f>
        <v>1495</v>
      </c>
      <c r="D284" s="134">
        <f>ROUND(C284/18,2)</f>
        <v>83.06</v>
      </c>
      <c r="E284" s="134"/>
      <c r="F284" s="135">
        <f>SUM(D284,E285:E286)</f>
        <v>83.06</v>
      </c>
      <c r="G284" s="95">
        <f>1158+132</f>
        <v>1290</v>
      </c>
      <c r="H284" s="134">
        <f>ROUND(G284/18,2)</f>
        <v>71.67</v>
      </c>
      <c r="I284" s="134"/>
      <c r="J284" s="135">
        <f>SUM(H284,I285:I286)</f>
        <v>71.67</v>
      </c>
      <c r="K284" s="95">
        <f>498+84</f>
        <v>582</v>
      </c>
      <c r="L284" s="134">
        <f>ROUND(K284/18,2)</f>
        <v>32.33</v>
      </c>
      <c r="M284" s="134"/>
      <c r="N284" s="135">
        <f>SUM(L284,M285:M286)</f>
        <v>32.33</v>
      </c>
      <c r="O284" s="115">
        <f>SUM(C284,G284,K284)</f>
        <v>3367</v>
      </c>
      <c r="P284" s="174">
        <f>ROUND(O284/36,2)</f>
        <v>93.53</v>
      </c>
      <c r="Q284" s="175" t="s">
        <v>44</v>
      </c>
      <c r="R284" s="176">
        <f>SUM(P284,Q285:Q286)</f>
        <v>93.53</v>
      </c>
    </row>
    <row r="285" spans="1:18" x14ac:dyDescent="0.5">
      <c r="A285" s="19"/>
      <c r="B285" s="33" t="s">
        <v>42</v>
      </c>
      <c r="C285" s="195"/>
      <c r="D285" s="134">
        <f>ROUND(C285/12,2)</f>
        <v>0</v>
      </c>
      <c r="E285" s="134">
        <f>D285*2</f>
        <v>0</v>
      </c>
      <c r="F285" s="135"/>
      <c r="G285" s="95"/>
      <c r="H285" s="134">
        <f>ROUND(G285/12,2)</f>
        <v>0</v>
      </c>
      <c r="I285" s="134">
        <f>H285*2</f>
        <v>0</v>
      </c>
      <c r="J285" s="135"/>
      <c r="K285" s="95"/>
      <c r="L285" s="134">
        <f>ROUND(K285/12,2)</f>
        <v>0</v>
      </c>
      <c r="M285" s="134">
        <f>L285*2</f>
        <v>0</v>
      </c>
      <c r="N285" s="135"/>
      <c r="O285" s="119">
        <f>SUM(C285,G285,K285)</f>
        <v>0</v>
      </c>
      <c r="P285" s="175">
        <f>ROUND(O285/24,2)</f>
        <v>0</v>
      </c>
      <c r="Q285" s="175">
        <f>P285*2</f>
        <v>0</v>
      </c>
      <c r="R285" s="176">
        <v>0</v>
      </c>
    </row>
    <row r="286" spans="1:18" ht="22.5" thickBot="1" x14ac:dyDescent="0.55000000000000004">
      <c r="A286" s="20"/>
      <c r="B286" s="34" t="s">
        <v>43</v>
      </c>
      <c r="C286" s="80"/>
      <c r="D286" s="136">
        <f>ROUND(C286/12,2)</f>
        <v>0</v>
      </c>
      <c r="E286" s="136">
        <f>D286*2</f>
        <v>0</v>
      </c>
      <c r="F286" s="137"/>
      <c r="G286" s="96"/>
      <c r="H286" s="136">
        <f>ROUND(G286/12,2)</f>
        <v>0</v>
      </c>
      <c r="I286" s="136">
        <f>H286*2</f>
        <v>0</v>
      </c>
      <c r="J286" s="137"/>
      <c r="K286" s="96"/>
      <c r="L286" s="136">
        <f>ROUND(K286/12,2)</f>
        <v>0</v>
      </c>
      <c r="M286" s="136">
        <f>L286*2</f>
        <v>0</v>
      </c>
      <c r="N286" s="137"/>
      <c r="O286" s="125">
        <f>SUM(C286,G286,K286)</f>
        <v>0</v>
      </c>
      <c r="P286" s="178">
        <f>ROUND(O286/24,2)</f>
        <v>0</v>
      </c>
      <c r="Q286" s="178">
        <f>P286*2</f>
        <v>0</v>
      </c>
      <c r="R286" s="179">
        <v>0</v>
      </c>
    </row>
    <row r="287" spans="1:18" s="14" customFormat="1" x14ac:dyDescent="0.5">
      <c r="A287" s="18" t="s">
        <v>30</v>
      </c>
      <c r="B287" s="45"/>
      <c r="C287" s="196"/>
      <c r="D287" s="138"/>
      <c r="E287" s="138"/>
      <c r="F287" s="139"/>
      <c r="G287" s="97"/>
      <c r="H287" s="138"/>
      <c r="I287" s="168"/>
      <c r="J287" s="139"/>
      <c r="K287" s="97"/>
      <c r="L287" s="138"/>
      <c r="M287" s="168"/>
      <c r="N287" s="139"/>
      <c r="O287" s="126"/>
      <c r="P287" s="183"/>
      <c r="Q287" s="183"/>
      <c r="R287" s="182"/>
    </row>
    <row r="288" spans="1:18" s="14" customFormat="1" x14ac:dyDescent="0.5">
      <c r="A288" s="16" t="s">
        <v>41</v>
      </c>
      <c r="B288" s="33" t="s">
        <v>3</v>
      </c>
      <c r="C288" s="195"/>
      <c r="D288" s="134">
        <f>ROUND(C288/18,2)</f>
        <v>0</v>
      </c>
      <c r="E288" s="134"/>
      <c r="F288" s="135">
        <f>SUM(D288,E289:E290)</f>
        <v>0</v>
      </c>
      <c r="G288" s="95"/>
      <c r="H288" s="134">
        <f>ROUND(G288/18,2)</f>
        <v>0</v>
      </c>
      <c r="I288" s="134"/>
      <c r="J288" s="135">
        <f>SUM(H288,I289:I290)</f>
        <v>0</v>
      </c>
      <c r="K288" s="95"/>
      <c r="L288" s="134">
        <f>ROUND(K288/18,2)</f>
        <v>0</v>
      </c>
      <c r="M288" s="134"/>
      <c r="N288" s="135">
        <f>SUM(L288,M289:M290)</f>
        <v>0</v>
      </c>
      <c r="O288" s="115">
        <f>SUM(C288,G288,K288)</f>
        <v>0</v>
      </c>
      <c r="P288" s="174">
        <f>ROUND(O288/36,2)</f>
        <v>0</v>
      </c>
      <c r="Q288" s="175" t="s">
        <v>44</v>
      </c>
      <c r="R288" s="176">
        <f>SUM(P288,Q289:Q290)</f>
        <v>0</v>
      </c>
    </row>
    <row r="289" spans="1:18" s="14" customFormat="1" x14ac:dyDescent="0.5">
      <c r="A289" s="16"/>
      <c r="B289" s="33" t="s">
        <v>42</v>
      </c>
      <c r="C289" s="195"/>
      <c r="D289" s="134">
        <f>ROUND(C289/12,2)</f>
        <v>0</v>
      </c>
      <c r="E289" s="134">
        <f>D289*2</f>
        <v>0</v>
      </c>
      <c r="F289" s="135"/>
      <c r="G289" s="95"/>
      <c r="H289" s="134">
        <f>ROUND(G289/12,2)</f>
        <v>0</v>
      </c>
      <c r="I289" s="134">
        <f>H289*2</f>
        <v>0</v>
      </c>
      <c r="J289" s="135"/>
      <c r="K289" s="95"/>
      <c r="L289" s="134">
        <f>ROUND(K289/12,2)</f>
        <v>0</v>
      </c>
      <c r="M289" s="134">
        <f>L289*2</f>
        <v>0</v>
      </c>
      <c r="N289" s="135"/>
      <c r="O289" s="119">
        <f>SUM(C289,G289,K289)</f>
        <v>0</v>
      </c>
      <c r="P289" s="175">
        <f>ROUND(O289/24,2)</f>
        <v>0</v>
      </c>
      <c r="Q289" s="175">
        <f>P289*2</f>
        <v>0</v>
      </c>
      <c r="R289" s="176">
        <v>0</v>
      </c>
    </row>
    <row r="290" spans="1:18" s="14" customFormat="1" ht="22.5" thickBot="1" x14ac:dyDescent="0.55000000000000004">
      <c r="A290" s="17"/>
      <c r="B290" s="34" t="s">
        <v>43</v>
      </c>
      <c r="C290" s="80"/>
      <c r="D290" s="136">
        <f>ROUND(C290/12,2)</f>
        <v>0</v>
      </c>
      <c r="E290" s="136">
        <f>D290*2</f>
        <v>0</v>
      </c>
      <c r="F290" s="137"/>
      <c r="G290" s="96"/>
      <c r="H290" s="136">
        <f>ROUND(G290/12,2)</f>
        <v>0</v>
      </c>
      <c r="I290" s="136">
        <f>H290*2</f>
        <v>0</v>
      </c>
      <c r="J290" s="137"/>
      <c r="K290" s="96"/>
      <c r="L290" s="136">
        <f>ROUND(K290/12,2)</f>
        <v>0</v>
      </c>
      <c r="M290" s="136">
        <f>L290*2</f>
        <v>0</v>
      </c>
      <c r="N290" s="137"/>
      <c r="O290" s="125">
        <f>SUM(C290,G290,K290)</f>
        <v>0</v>
      </c>
      <c r="P290" s="178">
        <f>ROUND(O290/24,2)</f>
        <v>0</v>
      </c>
      <c r="Q290" s="178">
        <f>P290*2</f>
        <v>0</v>
      </c>
      <c r="R290" s="179">
        <v>0</v>
      </c>
    </row>
    <row r="291" spans="1:18" s="14" customFormat="1" x14ac:dyDescent="0.5">
      <c r="A291" s="21" t="s">
        <v>90</v>
      </c>
      <c r="B291" s="41" t="s">
        <v>3</v>
      </c>
      <c r="C291" s="82">
        <f t="shared" ref="C291:D293" si="18">SUM(C284,C288)</f>
        <v>1495</v>
      </c>
      <c r="D291" s="147">
        <f t="shared" si="18"/>
        <v>83.06</v>
      </c>
      <c r="E291" s="150"/>
      <c r="F291" s="148">
        <f>ROUND(SUM(D291,E292:E293),2)</f>
        <v>83.06</v>
      </c>
      <c r="G291" s="98">
        <f t="shared" ref="G291:H293" si="19">SUM(G284,G288)</f>
        <v>1290</v>
      </c>
      <c r="H291" s="147">
        <f t="shared" si="19"/>
        <v>71.67</v>
      </c>
      <c r="I291" s="150"/>
      <c r="J291" s="148">
        <f>ROUND(SUM(H291,I292:I293),2)</f>
        <v>71.67</v>
      </c>
      <c r="K291" s="98">
        <f t="shared" ref="K291:L293" si="20">SUM(K284,K288)</f>
        <v>582</v>
      </c>
      <c r="L291" s="147">
        <f t="shared" si="20"/>
        <v>32.33</v>
      </c>
      <c r="M291" s="147"/>
      <c r="N291" s="148">
        <f>ROUND(SUM(L291,M292:M293),2)</f>
        <v>32.33</v>
      </c>
      <c r="O291" s="82">
        <f t="shared" ref="O291:P293" si="21">SUM(O284,O288)</f>
        <v>3367</v>
      </c>
      <c r="P291" s="147">
        <f t="shared" si="21"/>
        <v>93.53</v>
      </c>
      <c r="Q291" s="147"/>
      <c r="R291" s="148">
        <f>ROUND(SUM(P291,Q292:Q293),2)</f>
        <v>93.53</v>
      </c>
    </row>
    <row r="292" spans="1:18" s="14" customFormat="1" x14ac:dyDescent="0.5">
      <c r="A292" s="22"/>
      <c r="B292" s="41" t="s">
        <v>42</v>
      </c>
      <c r="C292" s="83">
        <f t="shared" si="18"/>
        <v>0</v>
      </c>
      <c r="D292" s="147">
        <f t="shared" si="18"/>
        <v>0</v>
      </c>
      <c r="E292" s="147">
        <f>SUM(E285,E289)</f>
        <v>0</v>
      </c>
      <c r="F292" s="149">
        <v>0</v>
      </c>
      <c r="G292" s="99">
        <f t="shared" si="19"/>
        <v>0</v>
      </c>
      <c r="H292" s="147">
        <f t="shared" si="19"/>
        <v>0</v>
      </c>
      <c r="I292" s="147">
        <f>SUM(I285,I289)</f>
        <v>0</v>
      </c>
      <c r="J292" s="149">
        <v>0</v>
      </c>
      <c r="K292" s="99">
        <f t="shared" si="20"/>
        <v>0</v>
      </c>
      <c r="L292" s="147">
        <f t="shared" si="20"/>
        <v>0</v>
      </c>
      <c r="M292" s="147">
        <f>SUM(M285,M289)</f>
        <v>0</v>
      </c>
      <c r="N292" s="149">
        <v>0</v>
      </c>
      <c r="O292" s="83">
        <f t="shared" si="21"/>
        <v>0</v>
      </c>
      <c r="P292" s="147">
        <f t="shared" si="21"/>
        <v>0</v>
      </c>
      <c r="Q292" s="147">
        <f>SUM(Q285,Q289)</f>
        <v>0</v>
      </c>
      <c r="R292" s="149">
        <v>0</v>
      </c>
    </row>
    <row r="293" spans="1:18" s="14" customFormat="1" ht="22.5" thickBot="1" x14ac:dyDescent="0.55000000000000004">
      <c r="A293" s="23"/>
      <c r="B293" s="42" t="s">
        <v>43</v>
      </c>
      <c r="C293" s="84">
        <f t="shared" si="18"/>
        <v>0</v>
      </c>
      <c r="D293" s="157">
        <f t="shared" si="18"/>
        <v>0</v>
      </c>
      <c r="E293" s="157">
        <f>SUM(E286,E290)</f>
        <v>0</v>
      </c>
      <c r="F293" s="152">
        <v>0</v>
      </c>
      <c r="G293" s="100">
        <f t="shared" si="19"/>
        <v>0</v>
      </c>
      <c r="H293" s="157">
        <f t="shared" si="19"/>
        <v>0</v>
      </c>
      <c r="I293" s="157">
        <f>SUM(I286,I290)</f>
        <v>0</v>
      </c>
      <c r="J293" s="152">
        <v>0</v>
      </c>
      <c r="K293" s="100">
        <f t="shared" si="20"/>
        <v>0</v>
      </c>
      <c r="L293" s="157">
        <f t="shared" si="20"/>
        <v>0</v>
      </c>
      <c r="M293" s="157">
        <f>SUM(M286,M290)</f>
        <v>0</v>
      </c>
      <c r="N293" s="152">
        <v>0</v>
      </c>
      <c r="O293" s="84">
        <f t="shared" si="21"/>
        <v>0</v>
      </c>
      <c r="P293" s="157">
        <f t="shared" si="21"/>
        <v>0</v>
      </c>
      <c r="Q293" s="157">
        <f>SUM(Q286,Q290)</f>
        <v>0</v>
      </c>
      <c r="R293" s="152">
        <v>0</v>
      </c>
    </row>
    <row r="294" spans="1:18" x14ac:dyDescent="0.5">
      <c r="A294" s="26" t="s">
        <v>91</v>
      </c>
      <c r="B294" s="46" t="s">
        <v>3</v>
      </c>
      <c r="C294" s="88">
        <f>SUM(C260,C277,C291)</f>
        <v>201376</v>
      </c>
      <c r="D294" s="158">
        <f>SUM(D260,D277,D291)</f>
        <v>11187.560000000003</v>
      </c>
      <c r="E294" s="159"/>
      <c r="F294" s="160">
        <f>ROUND(SUM(D294,E295:E297),2)</f>
        <v>15668.55</v>
      </c>
      <c r="G294" s="102">
        <f>SUM(G260,G277,G291)</f>
        <v>170116</v>
      </c>
      <c r="H294" s="158">
        <f>SUM(H260,H277,H291)</f>
        <v>9450.880000000001</v>
      </c>
      <c r="I294" s="159"/>
      <c r="J294" s="160">
        <f>ROUND(SUM(H294,I295:I297),2)</f>
        <v>13221.36</v>
      </c>
      <c r="K294" s="102">
        <f>SUM(K260,K277,K291)</f>
        <v>70572</v>
      </c>
      <c r="L294" s="158">
        <f>SUM(L260,L277,L291)</f>
        <v>3920.6500000000005</v>
      </c>
      <c r="M294" s="159"/>
      <c r="N294" s="160">
        <f>ROUND(SUM(L294,M295:M297),2)</f>
        <v>5346.68</v>
      </c>
      <c r="O294" s="88">
        <f>SUM(O260,O277,O291)</f>
        <v>442064</v>
      </c>
      <c r="P294" s="158">
        <f>SUM(P260,P277,P291)</f>
        <v>12279.539999999999</v>
      </c>
      <c r="Q294" s="159"/>
      <c r="R294" s="160">
        <f>ROUND(SUM(P294,Q295:Q297),2)</f>
        <v>17118.36</v>
      </c>
    </row>
    <row r="295" spans="1:18" ht="18.75" customHeight="1" x14ac:dyDescent="0.5">
      <c r="A295" s="27"/>
      <c r="B295" s="47" t="s">
        <v>76</v>
      </c>
      <c r="C295" s="89">
        <f>SUM(C261)</f>
        <v>0</v>
      </c>
      <c r="D295" s="161">
        <f>SUM(D261)</f>
        <v>0</v>
      </c>
      <c r="E295" s="161">
        <f>SUM(E261)</f>
        <v>0</v>
      </c>
      <c r="F295" s="162">
        <v>0</v>
      </c>
      <c r="G295" s="103">
        <f>SUM(G261)</f>
        <v>0</v>
      </c>
      <c r="H295" s="161">
        <f>SUM(H261)</f>
        <v>0</v>
      </c>
      <c r="I295" s="161">
        <f>SUM(I261)</f>
        <v>0</v>
      </c>
      <c r="J295" s="162">
        <v>0</v>
      </c>
      <c r="K295" s="103">
        <f>SUM(K261)</f>
        <v>0</v>
      </c>
      <c r="L295" s="161">
        <f>SUM(L261)</f>
        <v>0</v>
      </c>
      <c r="M295" s="161">
        <f>SUM(M261)</f>
        <v>0</v>
      </c>
      <c r="N295" s="162">
        <v>0</v>
      </c>
      <c r="O295" s="89">
        <f>SUM(O261)</f>
        <v>0</v>
      </c>
      <c r="P295" s="161">
        <f>SUM(P261)</f>
        <v>0</v>
      </c>
      <c r="Q295" s="161">
        <f>SUM(Q261)</f>
        <v>0</v>
      </c>
      <c r="R295" s="162">
        <v>0</v>
      </c>
    </row>
    <row r="296" spans="1:18" ht="18.75" customHeight="1" x14ac:dyDescent="0.5">
      <c r="A296" s="27"/>
      <c r="B296" s="47" t="s">
        <v>42</v>
      </c>
      <c r="C296" s="90">
        <f t="shared" ref="C296:E297" si="22">SUM(C262,C278,C292)</f>
        <v>30290</v>
      </c>
      <c r="D296" s="163">
        <f t="shared" si="22"/>
        <v>2524.16</v>
      </c>
      <c r="E296" s="163">
        <f t="shared" si="22"/>
        <v>4264.2389999999996</v>
      </c>
      <c r="F296" s="162">
        <v>0</v>
      </c>
      <c r="G296" s="104">
        <f t="shared" ref="G296:I297" si="23">SUM(G262,G278,G292)</f>
        <v>25341</v>
      </c>
      <c r="H296" s="163">
        <f t="shared" si="23"/>
        <v>2111.7600000000002</v>
      </c>
      <c r="I296" s="163">
        <f t="shared" si="23"/>
        <v>3561.9760000000001</v>
      </c>
      <c r="J296" s="162">
        <v>0</v>
      </c>
      <c r="K296" s="104">
        <f t="shared" ref="K296:M297" si="24">SUM(K262,K278,K292)</f>
        <v>9793</v>
      </c>
      <c r="L296" s="163">
        <f t="shared" si="24"/>
        <v>816.07</v>
      </c>
      <c r="M296" s="163">
        <f t="shared" si="24"/>
        <v>1325.077</v>
      </c>
      <c r="N296" s="162">
        <v>0</v>
      </c>
      <c r="O296" s="90">
        <f t="shared" ref="O296:Q297" si="25">SUM(O262,O278,O292)</f>
        <v>65424</v>
      </c>
      <c r="P296" s="163">
        <f t="shared" si="25"/>
        <v>2726.03</v>
      </c>
      <c r="Q296" s="163">
        <f t="shared" si="25"/>
        <v>4575.7060000000001</v>
      </c>
      <c r="R296" s="162">
        <v>0</v>
      </c>
    </row>
    <row r="297" spans="1:18" ht="22.5" thickBot="1" x14ac:dyDescent="0.55000000000000004">
      <c r="A297" s="28"/>
      <c r="B297" s="48" t="s">
        <v>43</v>
      </c>
      <c r="C297" s="91">
        <f t="shared" si="22"/>
        <v>1560</v>
      </c>
      <c r="D297" s="164">
        <f t="shared" si="22"/>
        <v>130</v>
      </c>
      <c r="E297" s="164">
        <f t="shared" si="22"/>
        <v>216.75</v>
      </c>
      <c r="F297" s="165">
        <v>0</v>
      </c>
      <c r="G297" s="105">
        <f t="shared" si="23"/>
        <v>1443</v>
      </c>
      <c r="H297" s="164">
        <f t="shared" si="23"/>
        <v>120.25</v>
      </c>
      <c r="I297" s="164">
        <f t="shared" si="23"/>
        <v>208.5</v>
      </c>
      <c r="J297" s="165">
        <v>0</v>
      </c>
      <c r="K297" s="105">
        <f t="shared" si="24"/>
        <v>677</v>
      </c>
      <c r="L297" s="164">
        <f t="shared" si="24"/>
        <v>56.42</v>
      </c>
      <c r="M297" s="164">
        <f t="shared" si="24"/>
        <v>100.956</v>
      </c>
      <c r="N297" s="165">
        <v>0</v>
      </c>
      <c r="O297" s="91">
        <f t="shared" si="25"/>
        <v>3680</v>
      </c>
      <c r="P297" s="164">
        <f t="shared" si="25"/>
        <v>153.34</v>
      </c>
      <c r="Q297" s="164">
        <f t="shared" si="25"/>
        <v>263.11200000000002</v>
      </c>
      <c r="R297" s="165">
        <v>0</v>
      </c>
    </row>
  </sheetData>
  <mergeCells count="6">
    <mergeCell ref="O2:R2"/>
    <mergeCell ref="A2:A3"/>
    <mergeCell ref="B2:B3"/>
    <mergeCell ref="C2:F2"/>
    <mergeCell ref="G2:J2"/>
    <mergeCell ref="K2:N2"/>
  </mergeCells>
  <printOptions horizontalCentered="1"/>
  <pageMargins left="0.19685039370078741" right="0.19685039370078741" top="0.31496062992125984" bottom="0.34" header="0.27559055118110237" footer="0.15748031496062992"/>
  <pageSetup paperSize="9" scale="70" orientation="landscape" r:id="rId1"/>
  <headerFooter>
    <oddFooter>&amp;C&amp;"Angsana New,Regular"&amp;14Page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E3" sqref="E3"/>
    </sheetView>
  </sheetViews>
  <sheetFormatPr defaultRowHeight="24" x14ac:dyDescent="0.55000000000000004"/>
  <cols>
    <col min="1" max="1" width="30.5" style="2" customWidth="1"/>
    <col min="2" max="2" width="9.625" style="2" customWidth="1"/>
    <col min="3" max="3" width="10.125" style="2" bestFit="1" customWidth="1"/>
    <col min="4" max="4" width="10" style="2" customWidth="1"/>
    <col min="5" max="5" width="9.875" style="2" customWidth="1"/>
    <col min="6" max="6" width="10.5" style="2" customWidth="1"/>
    <col min="7" max="16384" width="9" style="2"/>
  </cols>
  <sheetData>
    <row r="1" spans="1:6" ht="27.75" x14ac:dyDescent="0.65">
      <c r="A1" s="1" t="s">
        <v>116</v>
      </c>
      <c r="B1" s="1"/>
    </row>
    <row r="2" spans="1:6" x14ac:dyDescent="0.55000000000000004">
      <c r="A2" s="3" t="s">
        <v>0</v>
      </c>
      <c r="B2" s="3"/>
      <c r="C2" s="30" t="s">
        <v>105</v>
      </c>
      <c r="D2" s="30" t="s">
        <v>106</v>
      </c>
      <c r="E2" s="30" t="s">
        <v>119</v>
      </c>
      <c r="F2" s="4" t="s">
        <v>1</v>
      </c>
    </row>
    <row r="3" spans="1:6" x14ac:dyDescent="0.55000000000000004">
      <c r="A3" s="5" t="s">
        <v>2</v>
      </c>
      <c r="B3" s="5" t="s">
        <v>3</v>
      </c>
      <c r="C3" s="6">
        <f>ปกติ58!D5</f>
        <v>1624.17</v>
      </c>
      <c r="D3" s="6">
        <f>ปกติ58!H5</f>
        <v>1403.72</v>
      </c>
      <c r="E3" s="6">
        <f>ปกติ58!L5</f>
        <v>78.17</v>
      </c>
      <c r="F3" s="7">
        <f>ปกติ58!P5</f>
        <v>1553.03</v>
      </c>
    </row>
    <row r="4" spans="1:6" x14ac:dyDescent="0.55000000000000004">
      <c r="A4" s="8"/>
      <c r="B4" s="8" t="s">
        <v>4</v>
      </c>
      <c r="C4" s="9">
        <f>SUM(ปกติ58!E6:E7)</f>
        <v>0</v>
      </c>
      <c r="D4" s="9">
        <f>SUM(ปกติ58!I6:I7)</f>
        <v>0</v>
      </c>
      <c r="E4" s="9">
        <f>SUM(ปกติ58!M6:M7)</f>
        <v>0</v>
      </c>
      <c r="F4" s="10">
        <f>SUM(ปกติ58!Q6:Q7)</f>
        <v>0</v>
      </c>
    </row>
    <row r="5" spans="1:6" x14ac:dyDescent="0.55000000000000004">
      <c r="A5" s="5" t="s">
        <v>100</v>
      </c>
      <c r="B5" s="5" t="s">
        <v>3</v>
      </c>
      <c r="C5" s="6">
        <f>ปกติ58!D9</f>
        <v>254.78</v>
      </c>
      <c r="D5" s="6">
        <f>ปกติ58!H9</f>
        <v>211.67</v>
      </c>
      <c r="E5" s="6">
        <f>ปกติ58!L9</f>
        <v>0</v>
      </c>
      <c r="F5" s="7">
        <f>ปกติ58!P9</f>
        <v>233.22</v>
      </c>
    </row>
    <row r="6" spans="1:6" x14ac:dyDescent="0.55000000000000004">
      <c r="A6" s="8"/>
      <c r="B6" s="8" t="s">
        <v>4</v>
      </c>
      <c r="C6" s="9">
        <f>SUM(ปกติ58!E10:E11)</f>
        <v>0</v>
      </c>
      <c r="D6" s="9">
        <f>SUM(ปกติ58!I10:I11)</f>
        <v>0</v>
      </c>
      <c r="E6" s="9">
        <f>SUM(ปกติ58!M10:M11)</f>
        <v>0</v>
      </c>
      <c r="F6" s="10">
        <f>SUM(ปกติ58!Q10:Q11)</f>
        <v>0</v>
      </c>
    </row>
    <row r="7" spans="1:6" x14ac:dyDescent="0.55000000000000004">
      <c r="A7" s="5" t="s">
        <v>5</v>
      </c>
      <c r="B7" s="5" t="s">
        <v>3</v>
      </c>
      <c r="C7" s="6">
        <f>ปกติ58!D13</f>
        <v>334.94</v>
      </c>
      <c r="D7" s="6">
        <f>ปกติ58!H13</f>
        <v>269.83</v>
      </c>
      <c r="E7" s="6">
        <f>ปกติ58!L13</f>
        <v>7.78</v>
      </c>
      <c r="F7" s="7">
        <f>ปกติ58!P13</f>
        <v>306.27999999999997</v>
      </c>
    </row>
    <row r="8" spans="1:6" x14ac:dyDescent="0.55000000000000004">
      <c r="A8" s="8"/>
      <c r="B8" s="8" t="s">
        <v>4</v>
      </c>
      <c r="C8" s="9">
        <f>SUM(ปกติ58!E14:E15)</f>
        <v>0</v>
      </c>
      <c r="D8" s="9">
        <f>SUM(ปกติ58!I14:I15)</f>
        <v>0</v>
      </c>
      <c r="E8" s="9">
        <f>SUM(ปกติ58!M14:M15)</f>
        <v>0</v>
      </c>
      <c r="F8" s="10">
        <f>SUM(ปกติ58!Q14:Q15)</f>
        <v>0</v>
      </c>
    </row>
    <row r="9" spans="1:6" x14ac:dyDescent="0.55000000000000004">
      <c r="A9" s="5" t="s">
        <v>6</v>
      </c>
      <c r="B9" s="5" t="s">
        <v>3</v>
      </c>
      <c r="C9" s="6">
        <f>ปกติ58!D17</f>
        <v>461.44</v>
      </c>
      <c r="D9" s="6">
        <f>ปกติ58!H17</f>
        <v>502.67</v>
      </c>
      <c r="E9" s="6">
        <f>ปกติ58!L17</f>
        <v>49.11</v>
      </c>
      <c r="F9" s="7">
        <f>ปกติ58!P17</f>
        <v>506.61</v>
      </c>
    </row>
    <row r="10" spans="1:6" x14ac:dyDescent="0.55000000000000004">
      <c r="A10" s="8"/>
      <c r="B10" s="8" t="s">
        <v>4</v>
      </c>
      <c r="C10" s="9">
        <f>SUM(ปกติ58!E18:E19)</f>
        <v>42.75</v>
      </c>
      <c r="D10" s="9">
        <f>SUM(ปกติ58!I18:I19)</f>
        <v>36.83</v>
      </c>
      <c r="E10" s="9">
        <f>SUM(ปกติ58!M18:M19)</f>
        <v>0</v>
      </c>
      <c r="F10" s="10">
        <f>SUM(ปกติ58!Q18:Q19)</f>
        <v>39.799999999999997</v>
      </c>
    </row>
    <row r="11" spans="1:6" x14ac:dyDescent="0.55000000000000004">
      <c r="A11" s="5" t="s">
        <v>7</v>
      </c>
      <c r="B11" s="5" t="s">
        <v>3</v>
      </c>
      <c r="C11" s="6">
        <f>ปกติ58!D48</f>
        <v>378.44</v>
      </c>
      <c r="D11" s="6">
        <f>ปกติ58!H48</f>
        <v>31.67</v>
      </c>
      <c r="E11" s="6">
        <f>ปกติ58!L48</f>
        <v>21.11</v>
      </c>
      <c r="F11" s="7">
        <f>ปกติ58!P48</f>
        <v>215.61</v>
      </c>
    </row>
    <row r="12" spans="1:6" x14ac:dyDescent="0.55000000000000004">
      <c r="A12" s="8"/>
      <c r="B12" s="8" t="s">
        <v>4</v>
      </c>
      <c r="C12" s="9">
        <f>SUM(ปกติ58!E49:E50)</f>
        <v>0</v>
      </c>
      <c r="D12" s="9">
        <f>SUM(ปกติ58!I49:I50)</f>
        <v>0</v>
      </c>
      <c r="E12" s="9">
        <f>SUM(ปกติ58!M49:M50)</f>
        <v>0</v>
      </c>
      <c r="F12" s="10">
        <f>SUM(ปกติ58!Q49:Q50)</f>
        <v>0</v>
      </c>
    </row>
    <row r="13" spans="1:6" x14ac:dyDescent="0.55000000000000004">
      <c r="A13" s="5" t="s">
        <v>8</v>
      </c>
      <c r="B13" s="5" t="s">
        <v>3</v>
      </c>
      <c r="C13" s="6">
        <f>ปกติ58!D52</f>
        <v>629.66999999999996</v>
      </c>
      <c r="D13" s="6">
        <f>ปกติ58!H52</f>
        <v>443.83</v>
      </c>
      <c r="E13" s="6">
        <f>ปกติ58!L52</f>
        <v>1.83</v>
      </c>
      <c r="F13" s="7">
        <f>ปกติ58!P52</f>
        <v>537.66999999999996</v>
      </c>
    </row>
    <row r="14" spans="1:6" x14ac:dyDescent="0.55000000000000004">
      <c r="A14" s="8"/>
      <c r="B14" s="8" t="s">
        <v>4</v>
      </c>
      <c r="C14" s="9">
        <f>SUM(ปกติ58!E53:E54)</f>
        <v>61.34</v>
      </c>
      <c r="D14" s="9">
        <f>SUM(ปกติ58!I53:I54)</f>
        <v>47</v>
      </c>
      <c r="E14" s="9">
        <f>SUM(ปกติ58!M53:M54)</f>
        <v>0</v>
      </c>
      <c r="F14" s="10">
        <f>SUM(ปกติ58!Q53:Q54)</f>
        <v>54.18</v>
      </c>
    </row>
    <row r="15" spans="1:6" x14ac:dyDescent="0.55000000000000004">
      <c r="A15" s="5" t="s">
        <v>9</v>
      </c>
      <c r="B15" s="5" t="s">
        <v>3</v>
      </c>
      <c r="C15" s="6">
        <f>ปกติ58!D56</f>
        <v>401.39</v>
      </c>
      <c r="D15" s="6">
        <f>ปกติ58!H56</f>
        <v>327.22000000000003</v>
      </c>
      <c r="E15" s="6">
        <f>ปกติ58!L56</f>
        <v>13.94</v>
      </c>
      <c r="F15" s="7">
        <f>ปกติ58!P56</f>
        <v>371.28</v>
      </c>
    </row>
    <row r="16" spans="1:6" x14ac:dyDescent="0.55000000000000004">
      <c r="A16" s="8"/>
      <c r="B16" s="8" t="s">
        <v>4</v>
      </c>
      <c r="C16" s="9">
        <f>SUM(ปกติ58!E57:E58)</f>
        <v>0</v>
      </c>
      <c r="D16" s="9">
        <f>SUM(ปกติ58!I57:I58)</f>
        <v>0</v>
      </c>
      <c r="E16" s="9">
        <f>SUM(ปกติ58!M57:M58)</f>
        <v>0</v>
      </c>
      <c r="F16" s="10">
        <f>SUM(ปกติ58!Q57:Q58)</f>
        <v>0</v>
      </c>
    </row>
    <row r="17" spans="1:6" x14ac:dyDescent="0.55000000000000004">
      <c r="A17" s="5" t="s">
        <v>10</v>
      </c>
      <c r="B17" s="5" t="s">
        <v>3</v>
      </c>
      <c r="C17" s="6">
        <f>ปกติ58!D93</f>
        <v>3328.39</v>
      </c>
      <c r="D17" s="6">
        <f>ปกติ58!H93</f>
        <v>2805.39</v>
      </c>
      <c r="E17" s="6">
        <f>ปกติ58!L93</f>
        <v>143.5</v>
      </c>
      <c r="F17" s="7">
        <f>ปกติ58!P93</f>
        <v>3138.64</v>
      </c>
    </row>
    <row r="18" spans="1:6" x14ac:dyDescent="0.55000000000000004">
      <c r="A18" s="8"/>
      <c r="B18" s="8" t="s">
        <v>4</v>
      </c>
      <c r="C18" s="9">
        <f>SUM(ปกติ58!E94:E95)</f>
        <v>44.856000000000002</v>
      </c>
      <c r="D18" s="9">
        <f>SUM(ปกติ58!I94:I95)</f>
        <v>24.75</v>
      </c>
      <c r="E18" s="9">
        <f>SUM(ปกติ58!M94:M95)</f>
        <v>0</v>
      </c>
      <c r="F18" s="10">
        <f>SUM(ปกติ58!Q94:Q95)</f>
        <v>34.812000000000005</v>
      </c>
    </row>
    <row r="19" spans="1:6" x14ac:dyDescent="0.55000000000000004">
      <c r="A19" s="5" t="s">
        <v>11</v>
      </c>
      <c r="B19" s="5" t="s">
        <v>3</v>
      </c>
      <c r="C19" s="6">
        <f>ปกติ58!D109</f>
        <v>1000.72</v>
      </c>
      <c r="D19" s="6">
        <f>ปกติ58!H109</f>
        <v>759.72</v>
      </c>
      <c r="E19" s="6">
        <f>ปกติ58!L109</f>
        <v>29.72</v>
      </c>
      <c r="F19" s="7">
        <f>ปกติ58!P109</f>
        <v>895.08</v>
      </c>
    </row>
    <row r="20" spans="1:6" x14ac:dyDescent="0.55000000000000004">
      <c r="A20" s="8"/>
      <c r="B20" s="8" t="s">
        <v>4</v>
      </c>
      <c r="C20" s="9">
        <f>SUM(ปกติ58!E110:E111)</f>
        <v>101.25</v>
      </c>
      <c r="D20" s="9">
        <f>SUM(ปกติ58!I110:I111)</f>
        <v>67.95</v>
      </c>
      <c r="E20" s="9">
        <f>SUM(ปกติ58!M110:M111)</f>
        <v>24.75</v>
      </c>
      <c r="F20" s="10">
        <f>SUM(ปกติ58!Q110:Q111)</f>
        <v>96.984000000000009</v>
      </c>
    </row>
    <row r="21" spans="1:6" x14ac:dyDescent="0.55000000000000004">
      <c r="A21" s="5" t="s">
        <v>12</v>
      </c>
      <c r="B21" s="5" t="s">
        <v>3</v>
      </c>
      <c r="C21" s="6">
        <f>ปกติ58!D113</f>
        <v>710.67</v>
      </c>
      <c r="D21" s="6">
        <f>ปกติ58!H113</f>
        <v>512.22</v>
      </c>
      <c r="E21" s="6">
        <f>ปกติ58!L113</f>
        <v>28.61</v>
      </c>
      <c r="F21" s="7">
        <f>ปกติ58!P113</f>
        <v>625.75</v>
      </c>
    </row>
    <row r="22" spans="1:6" x14ac:dyDescent="0.55000000000000004">
      <c r="A22" s="8"/>
      <c r="B22" s="8" t="s">
        <v>4</v>
      </c>
      <c r="C22" s="9">
        <f>SUM(ปกติ58!E114:E115)</f>
        <v>21.84</v>
      </c>
      <c r="D22" s="9">
        <f>SUM(ปกติ58!I114:I115)</f>
        <v>26.84</v>
      </c>
      <c r="E22" s="9">
        <f>SUM(ปกติ58!M114:M115)</f>
        <v>0</v>
      </c>
      <c r="F22" s="10">
        <f>SUM(ปกติ58!Q114:Q115)</f>
        <v>24.34</v>
      </c>
    </row>
    <row r="23" spans="1:6" x14ac:dyDescent="0.55000000000000004">
      <c r="A23" s="5" t="s">
        <v>13</v>
      </c>
      <c r="B23" s="5" t="s">
        <v>3</v>
      </c>
      <c r="C23" s="6">
        <f>ปกติ58!D117</f>
        <v>1304.56</v>
      </c>
      <c r="D23" s="6">
        <f>ปกติ58!H117</f>
        <v>1261.3900000000001</v>
      </c>
      <c r="E23" s="6">
        <f>ปกติ58!L117</f>
        <v>8.67</v>
      </c>
      <c r="F23" s="7">
        <f>ปกติ58!P117</f>
        <v>1287.31</v>
      </c>
    </row>
    <row r="24" spans="1:6" x14ac:dyDescent="0.55000000000000004">
      <c r="A24" s="8"/>
      <c r="B24" s="8" t="s">
        <v>4</v>
      </c>
      <c r="C24" s="9">
        <f>SUM(ปกติ58!E118:E119)</f>
        <v>60.66</v>
      </c>
      <c r="D24" s="9">
        <f>SUM(ปกติ58!I118:I119)</f>
        <v>39.5</v>
      </c>
      <c r="E24" s="9">
        <f>SUM(ปกติ58!M118:M119)</f>
        <v>0</v>
      </c>
      <c r="F24" s="10">
        <f>SUM(ปกติ58!Q118:Q119)</f>
        <v>50.1</v>
      </c>
    </row>
    <row r="25" spans="1:6" x14ac:dyDescent="0.55000000000000004">
      <c r="A25" s="5" t="s">
        <v>14</v>
      </c>
      <c r="B25" s="5" t="s">
        <v>3</v>
      </c>
      <c r="C25" s="6">
        <f>ปกติ58!D151</f>
        <v>2688.72</v>
      </c>
      <c r="D25" s="6">
        <f>ปกติ58!H151</f>
        <v>1737.39</v>
      </c>
      <c r="E25" s="6">
        <f>ปกติ58!L151</f>
        <v>44.17</v>
      </c>
      <c r="F25" s="7">
        <f>ปกติ58!P151</f>
        <v>2235.14</v>
      </c>
    </row>
    <row r="26" spans="1:6" x14ac:dyDescent="0.55000000000000004">
      <c r="A26" s="8"/>
      <c r="B26" s="8" t="s">
        <v>4</v>
      </c>
      <c r="C26" s="9">
        <f>SUM(ปกติ58!E152:E153)</f>
        <v>209.5</v>
      </c>
      <c r="D26" s="9">
        <f>SUM(ปกติ58!I152:I153)</f>
        <v>164.5</v>
      </c>
      <c r="E26" s="9">
        <f>SUM(ปกติ58!M152:M153)</f>
        <v>0</v>
      </c>
      <c r="F26" s="10">
        <f>SUM(ปกติ58!Q152:Q153)</f>
        <v>187</v>
      </c>
    </row>
    <row r="27" spans="1:6" x14ac:dyDescent="0.55000000000000004">
      <c r="A27" s="5" t="s">
        <v>15</v>
      </c>
      <c r="B27" s="5" t="s">
        <v>3</v>
      </c>
      <c r="C27" s="6">
        <f>ปกติ58!D155</f>
        <v>930.44</v>
      </c>
      <c r="D27" s="6">
        <f>ปกติ58!H155</f>
        <v>827.33</v>
      </c>
      <c r="E27" s="6">
        <f>ปกติ58!L155</f>
        <v>43.72</v>
      </c>
      <c r="F27" s="7">
        <f>ปกติ58!P155</f>
        <v>900.75</v>
      </c>
    </row>
    <row r="28" spans="1:6" x14ac:dyDescent="0.55000000000000004">
      <c r="A28" s="8"/>
      <c r="B28" s="8" t="s">
        <v>4</v>
      </c>
      <c r="C28" s="9">
        <f>SUM(ปกติ58!E156:E157)</f>
        <v>24.75</v>
      </c>
      <c r="D28" s="9">
        <f>SUM(ปกติ58!I156:I157)</f>
        <v>24.42</v>
      </c>
      <c r="E28" s="9">
        <f>SUM(ปกติ58!M156:M157)</f>
        <v>0</v>
      </c>
      <c r="F28" s="10">
        <f>SUM(ปกติ58!Q156:Q157)</f>
        <v>24.58</v>
      </c>
    </row>
    <row r="29" spans="1:6" x14ac:dyDescent="0.55000000000000004">
      <c r="A29" s="5" t="s">
        <v>16</v>
      </c>
      <c r="B29" s="5" t="s">
        <v>3</v>
      </c>
      <c r="C29" s="6">
        <f>ปกติ58!D177</f>
        <v>1165.33</v>
      </c>
      <c r="D29" s="6">
        <f>ปกติ58!H177</f>
        <v>1118.72</v>
      </c>
      <c r="E29" s="6">
        <f>ปกติ58!L177</f>
        <v>24.39</v>
      </c>
      <c r="F29" s="7">
        <f>ปกติ58!P177</f>
        <v>1154.22</v>
      </c>
    </row>
    <row r="30" spans="1:6" x14ac:dyDescent="0.55000000000000004">
      <c r="A30" s="8"/>
      <c r="B30" s="8" t="s">
        <v>4</v>
      </c>
      <c r="C30" s="9">
        <f>SUM(ปกติ58!E178:E179)</f>
        <v>78.16</v>
      </c>
      <c r="D30" s="9">
        <f>SUM(ปกติ58!I178:I179)</f>
        <v>75.84</v>
      </c>
      <c r="E30" s="9">
        <f>SUM(ปกติ58!M178:M179)</f>
        <v>3.5</v>
      </c>
      <c r="F30" s="10">
        <f>SUM(ปกติ58!Q178:Q179)</f>
        <v>78.760000000000005</v>
      </c>
    </row>
    <row r="31" spans="1:6" x14ac:dyDescent="0.55000000000000004">
      <c r="A31" s="5" t="s">
        <v>17</v>
      </c>
      <c r="B31" s="5" t="s">
        <v>3</v>
      </c>
      <c r="C31" s="6">
        <f>ปกติ58!D181</f>
        <v>678.67</v>
      </c>
      <c r="D31" s="6">
        <f>ปกติ58!H181</f>
        <v>446.83</v>
      </c>
      <c r="E31" s="6">
        <f>ปกติ58!L181</f>
        <v>26.17</v>
      </c>
      <c r="F31" s="7">
        <f>ปกติ58!P181</f>
        <v>575.83000000000004</v>
      </c>
    </row>
    <row r="32" spans="1:6" x14ac:dyDescent="0.55000000000000004">
      <c r="A32" s="8"/>
      <c r="B32" s="8" t="s">
        <v>4</v>
      </c>
      <c r="C32" s="9">
        <f>SUM(ปกติ58!E182:E183)</f>
        <v>91.8</v>
      </c>
      <c r="D32" s="9">
        <f>SUM(ปกติ58!I182:I183)</f>
        <v>81</v>
      </c>
      <c r="E32" s="9">
        <f>SUM(ปกติ58!M182:M183)</f>
        <v>0</v>
      </c>
      <c r="F32" s="10">
        <f>SUM(ปกติ58!Q182:Q183)</f>
        <v>86.4</v>
      </c>
    </row>
    <row r="33" spans="1:6" x14ac:dyDescent="0.55000000000000004">
      <c r="A33" s="5" t="s">
        <v>18</v>
      </c>
      <c r="B33" s="5" t="s">
        <v>3</v>
      </c>
      <c r="C33" s="6">
        <f>ปกติ58!D213</f>
        <v>1650.17</v>
      </c>
      <c r="D33" s="6">
        <f>ปกติ58!H213</f>
        <v>1462.39</v>
      </c>
      <c r="E33" s="6">
        <f>ปกติ58!L213</f>
        <v>48.94</v>
      </c>
      <c r="F33" s="7">
        <f>ปกติ58!P213</f>
        <v>1580.75</v>
      </c>
    </row>
    <row r="34" spans="1:6" x14ac:dyDescent="0.55000000000000004">
      <c r="A34" s="8"/>
      <c r="B34" s="8" t="s">
        <v>4</v>
      </c>
      <c r="C34" s="9">
        <f>SUM(ปกติ58!E214:E216)</f>
        <v>543.495</v>
      </c>
      <c r="D34" s="9">
        <f>SUM(ปกติ58!I214:I216)</f>
        <v>519.75</v>
      </c>
      <c r="E34" s="9">
        <f>SUM(ปกติ58!M214:M216)</f>
        <v>25.754999999999999</v>
      </c>
      <c r="F34" s="10">
        <f>SUM(ปกติ58!Q214:Q216)</f>
        <v>544.5</v>
      </c>
    </row>
    <row r="35" spans="1:6" x14ac:dyDescent="0.55000000000000004">
      <c r="A35" s="5" t="s">
        <v>19</v>
      </c>
      <c r="B35" s="5" t="s">
        <v>3</v>
      </c>
      <c r="C35" s="6">
        <f>ปกติ58!D218</f>
        <v>530.61</v>
      </c>
      <c r="D35" s="6">
        <f>ปกติ58!H218</f>
        <v>549.05999999999995</v>
      </c>
      <c r="E35" s="6">
        <f>ปกติ58!L218</f>
        <v>30.33</v>
      </c>
      <c r="F35" s="7">
        <f>ปกติ58!P218</f>
        <v>555</v>
      </c>
    </row>
    <row r="36" spans="1:6" x14ac:dyDescent="0.55000000000000004">
      <c r="A36" s="8"/>
      <c r="B36" s="8" t="s">
        <v>4</v>
      </c>
      <c r="C36" s="9">
        <f>SUM(ปกติ58!E219:E220)</f>
        <v>0.67</v>
      </c>
      <c r="D36" s="9">
        <f>SUM(ปกติ58!I219:I220)</f>
        <v>0.5</v>
      </c>
      <c r="E36" s="9">
        <f>SUM(ปกติ58!M219:M220)</f>
        <v>0</v>
      </c>
      <c r="F36" s="10">
        <f>SUM(ปกติ58!Q219:Q220)</f>
        <v>0.57999999999999996</v>
      </c>
    </row>
    <row r="37" spans="1:6" x14ac:dyDescent="0.55000000000000004">
      <c r="A37" s="5" t="s">
        <v>20</v>
      </c>
      <c r="B37" s="5" t="s">
        <v>3</v>
      </c>
      <c r="C37" s="6">
        <f>ปกติ58!D237</f>
        <v>624.33000000000004</v>
      </c>
      <c r="D37" s="6">
        <f>ปกติ58!H237</f>
        <v>664.33</v>
      </c>
      <c r="E37" s="6">
        <f>ปกติ58!L237</f>
        <v>89.89</v>
      </c>
      <c r="F37" s="7">
        <f>ปกติ58!P237</f>
        <v>689.28</v>
      </c>
    </row>
    <row r="38" spans="1:6" x14ac:dyDescent="0.55000000000000004">
      <c r="A38" s="8"/>
      <c r="B38" s="8" t="s">
        <v>4</v>
      </c>
      <c r="C38" s="9">
        <f>SUM(ปกติ58!E238:E239)</f>
        <v>11</v>
      </c>
      <c r="D38" s="9">
        <f>SUM(ปกติ58!I238:I239)</f>
        <v>8</v>
      </c>
      <c r="E38" s="9">
        <f>SUM(ปกติ58!M238:M239)</f>
        <v>0</v>
      </c>
      <c r="F38" s="10">
        <f>SUM(ปกติ58!Q238:Q239)</f>
        <v>9.5</v>
      </c>
    </row>
    <row r="39" spans="1:6" x14ac:dyDescent="0.55000000000000004">
      <c r="A39" s="5" t="s">
        <v>21</v>
      </c>
      <c r="B39" s="5" t="s">
        <v>3</v>
      </c>
      <c r="C39" s="6">
        <f>ปกติ58!D241</f>
        <v>1212.5</v>
      </c>
      <c r="D39" s="6">
        <f>ปกติ58!H241</f>
        <v>991.83</v>
      </c>
      <c r="E39" s="6">
        <f>ปกติ58!L241</f>
        <v>332.89</v>
      </c>
      <c r="F39" s="7">
        <f>ปกติ58!P241</f>
        <v>1268.6099999999999</v>
      </c>
    </row>
    <row r="40" spans="1:6" x14ac:dyDescent="0.55000000000000004">
      <c r="A40" s="8"/>
      <c r="B40" s="8" t="s">
        <v>4</v>
      </c>
      <c r="C40" s="9">
        <f>SUM(ปกติ58!E242:E243)</f>
        <v>0</v>
      </c>
      <c r="D40" s="9">
        <f>SUM(ปกติ58!I242:I243)</f>
        <v>0</v>
      </c>
      <c r="E40" s="9">
        <f>SUM(ปกติ58!M242:M243)</f>
        <v>0</v>
      </c>
      <c r="F40" s="10">
        <f>SUM(ปกติ58!Q242:Q243)</f>
        <v>0</v>
      </c>
    </row>
    <row r="41" spans="1:6" x14ac:dyDescent="0.55000000000000004">
      <c r="A41" s="5" t="s">
        <v>22</v>
      </c>
      <c r="B41" s="5" t="s">
        <v>3</v>
      </c>
      <c r="C41" s="6">
        <f>ปกติ58!D245</f>
        <v>0</v>
      </c>
      <c r="D41" s="6">
        <f>ปกติ58!H245</f>
        <v>0</v>
      </c>
      <c r="E41" s="6">
        <f>ปกติ58!L245</f>
        <v>0</v>
      </c>
      <c r="F41" s="7">
        <f>ปกติ58!P245</f>
        <v>0</v>
      </c>
    </row>
    <row r="42" spans="1:6" x14ac:dyDescent="0.55000000000000004">
      <c r="A42" s="8"/>
      <c r="B42" s="8" t="s">
        <v>4</v>
      </c>
      <c r="C42" s="9">
        <f>SUM(ปกติ58!E246:E247)</f>
        <v>78.75</v>
      </c>
      <c r="D42" s="9">
        <f>SUM(ปกติ58!I246:I247)</f>
        <v>143.55000000000001</v>
      </c>
      <c r="E42" s="9">
        <f>SUM(ปกติ58!M246:M247)</f>
        <v>0</v>
      </c>
      <c r="F42" s="10">
        <f>SUM(ปกติ58!Q246:Q247)</f>
        <v>111.15</v>
      </c>
    </row>
    <row r="43" spans="1:6" x14ac:dyDescent="0.55000000000000004">
      <c r="A43" s="5" t="s">
        <v>23</v>
      </c>
      <c r="B43" s="5" t="s">
        <v>3</v>
      </c>
      <c r="C43" s="6">
        <f>ปกติ58!D249</f>
        <v>0</v>
      </c>
      <c r="D43" s="6">
        <f>ปกติ58!H249</f>
        <v>0</v>
      </c>
      <c r="E43" s="6">
        <f>ปกติ58!L249</f>
        <v>0</v>
      </c>
      <c r="F43" s="7">
        <f>ปกติ58!P249</f>
        <v>0</v>
      </c>
    </row>
    <row r="44" spans="1:6" x14ac:dyDescent="0.55000000000000004">
      <c r="A44" s="8"/>
      <c r="B44" s="8" t="s">
        <v>4</v>
      </c>
      <c r="C44" s="9">
        <f>SUM(ปกติ58!E250:E251)</f>
        <v>67.5</v>
      </c>
      <c r="D44" s="9">
        <f>SUM(ปกติ58!I250:I251)</f>
        <v>46.206000000000003</v>
      </c>
      <c r="E44" s="9">
        <f>SUM(ปกติ58!M250:M251)</f>
        <v>1.8</v>
      </c>
      <c r="F44" s="10">
        <f>SUM(ปกติ58!Q250:Q251)</f>
        <v>57.762000000000008</v>
      </c>
    </row>
    <row r="45" spans="1:6" x14ac:dyDescent="0.55000000000000004">
      <c r="A45" s="5" t="s">
        <v>24</v>
      </c>
      <c r="B45" s="5" t="s">
        <v>3</v>
      </c>
      <c r="C45" s="6">
        <f>ปกติ58!D253</f>
        <v>0</v>
      </c>
      <c r="D45" s="6">
        <f>ปกติ58!H253</f>
        <v>0</v>
      </c>
      <c r="E45" s="6">
        <f>ปกติ58!L253</f>
        <v>0</v>
      </c>
      <c r="F45" s="7">
        <f>ปกติ58!P253</f>
        <v>0</v>
      </c>
    </row>
    <row r="46" spans="1:6" x14ac:dyDescent="0.55000000000000004">
      <c r="A46" s="8"/>
      <c r="B46" s="8" t="s">
        <v>4</v>
      </c>
      <c r="C46" s="9">
        <f>SUM(ปกติ58!E254:E255)</f>
        <v>161.10000000000002</v>
      </c>
      <c r="D46" s="9">
        <f>SUM(ปกติ58!I254:I255)</f>
        <v>148.94999999999999</v>
      </c>
      <c r="E46" s="9">
        <f>SUM(ปกติ58!M254:M255)</f>
        <v>0</v>
      </c>
      <c r="F46" s="10">
        <f>SUM(ปกติ58!Q254:Q255)</f>
        <v>155.03399999999999</v>
      </c>
    </row>
    <row r="47" spans="1:6" x14ac:dyDescent="0.55000000000000004">
      <c r="A47" s="5" t="s">
        <v>25</v>
      </c>
      <c r="B47" s="5" t="s">
        <v>3</v>
      </c>
      <c r="C47" s="6">
        <f>ปกติ58!D257</f>
        <v>897.17</v>
      </c>
      <c r="D47" s="6">
        <f>ปกติ58!H257</f>
        <v>1166</v>
      </c>
      <c r="E47" s="6">
        <f>ปกติ58!L257</f>
        <v>216.5</v>
      </c>
      <c r="F47" s="7">
        <f>ปกติ58!P257</f>
        <v>1139.83</v>
      </c>
    </row>
    <row r="48" spans="1:6" x14ac:dyDescent="0.55000000000000004">
      <c r="A48" s="8"/>
      <c r="B48" s="8" t="s">
        <v>4</v>
      </c>
      <c r="C48" s="9">
        <f>SUM(ปกติ58!E258:E259)</f>
        <v>53.550000000000004</v>
      </c>
      <c r="D48" s="9">
        <f>SUM(ปกติ58!I258:I259)</f>
        <v>65.394000000000005</v>
      </c>
      <c r="E48" s="9">
        <f>SUM(ปกติ58!M258:M259)</f>
        <v>23.706</v>
      </c>
      <c r="F48" s="10">
        <f>SUM(ปกติ58!Q258:Q259)</f>
        <v>71.316000000000003</v>
      </c>
    </row>
    <row r="49" spans="1:6" x14ac:dyDescent="0.55000000000000004">
      <c r="A49" s="5" t="s">
        <v>26</v>
      </c>
      <c r="B49" s="5" t="s">
        <v>3</v>
      </c>
      <c r="C49" s="6">
        <f>ปกติ58!D266</f>
        <v>264.94</v>
      </c>
      <c r="D49" s="6">
        <f>ปกติ58!H266</f>
        <v>194.39</v>
      </c>
      <c r="E49" s="6">
        <f>ปกติ58!L266</f>
        <v>6</v>
      </c>
      <c r="F49" s="7">
        <f>ปกติ58!P266</f>
        <v>232.67</v>
      </c>
    </row>
    <row r="50" spans="1:6" x14ac:dyDescent="0.55000000000000004">
      <c r="A50" s="8"/>
      <c r="B50" s="8" t="s">
        <v>4</v>
      </c>
      <c r="C50" s="9">
        <f>SUM(ปกติ58!E267:E268)</f>
        <v>0</v>
      </c>
      <c r="D50" s="9">
        <f>SUM(ปกติ58!I267:I268)</f>
        <v>0</v>
      </c>
      <c r="E50" s="9">
        <f>SUM(ปกติ58!M267:M268)</f>
        <v>0</v>
      </c>
      <c r="F50" s="10">
        <f>SUM(ปกติ58!Q267:Q268)</f>
        <v>0</v>
      </c>
    </row>
    <row r="51" spans="1:6" x14ac:dyDescent="0.55000000000000004">
      <c r="A51" s="5" t="s">
        <v>27</v>
      </c>
      <c r="B51" s="5" t="s">
        <v>3</v>
      </c>
      <c r="C51" s="6">
        <f>ปกติ58!D270</f>
        <v>1524.33</v>
      </c>
      <c r="D51" s="6">
        <f>ปกติ58!H270</f>
        <v>1375.83</v>
      </c>
      <c r="E51" s="6">
        <f>ปกติ58!L270</f>
        <v>12</v>
      </c>
      <c r="F51" s="7">
        <f>ปกติ58!P270</f>
        <v>1456.08</v>
      </c>
    </row>
    <row r="52" spans="1:6" x14ac:dyDescent="0.55000000000000004">
      <c r="A52" s="8"/>
      <c r="B52" s="8" t="s">
        <v>4</v>
      </c>
      <c r="C52" s="9">
        <f>SUM(ปกติ58!E271:E272)</f>
        <v>0</v>
      </c>
      <c r="D52" s="9">
        <f>SUM(ปกติ58!I271:I272)</f>
        <v>0</v>
      </c>
      <c r="E52" s="9">
        <f>SUM(ปกติ58!M271:M272)</f>
        <v>0</v>
      </c>
      <c r="F52" s="10">
        <f>SUM(ปกติ58!Q271:Q272)</f>
        <v>0</v>
      </c>
    </row>
    <row r="53" spans="1:6" x14ac:dyDescent="0.55000000000000004">
      <c r="A53" s="5" t="s">
        <v>28</v>
      </c>
      <c r="B53" s="5" t="s">
        <v>3</v>
      </c>
      <c r="C53" s="6">
        <f>ปกติ58!D274</f>
        <v>266.77999999999997</v>
      </c>
      <c r="D53" s="6">
        <f>ปกติ58!H274</f>
        <v>205.89</v>
      </c>
      <c r="E53" s="6">
        <f>ปกติ58!L274</f>
        <v>0</v>
      </c>
      <c r="F53" s="7">
        <f>ปกติ58!P274</f>
        <v>236.33</v>
      </c>
    </row>
    <row r="54" spans="1:6" x14ac:dyDescent="0.55000000000000004">
      <c r="A54" s="8"/>
      <c r="B54" s="8" t="s">
        <v>4</v>
      </c>
      <c r="C54" s="9">
        <f>SUM(ปกติ58!E275:E276)</f>
        <v>0</v>
      </c>
      <c r="D54" s="9">
        <f>SUM(ปกติ58!I275:I276)</f>
        <v>0</v>
      </c>
      <c r="E54" s="9">
        <f>SUM(ปกติ58!M275:M276)</f>
        <v>0</v>
      </c>
      <c r="F54" s="10">
        <f>SUM(ปกติ58!Q275:Q276)</f>
        <v>0</v>
      </c>
    </row>
    <row r="55" spans="1:6" x14ac:dyDescent="0.55000000000000004">
      <c r="A55" s="5" t="s">
        <v>29</v>
      </c>
      <c r="B55" s="5" t="s">
        <v>3</v>
      </c>
      <c r="C55" s="6">
        <f>ปกติ58!D284</f>
        <v>1155.83</v>
      </c>
      <c r="D55" s="6">
        <f>ปกติ58!H284</f>
        <v>1059.3900000000001</v>
      </c>
      <c r="E55" s="6">
        <f>ปกติ58!L284</f>
        <v>54.5</v>
      </c>
      <c r="F55" s="7">
        <f>ปกติ58!P284</f>
        <v>1134.8599999999999</v>
      </c>
    </row>
    <row r="56" spans="1:6" x14ac:dyDescent="0.55000000000000004">
      <c r="A56" s="8"/>
      <c r="B56" s="8" t="s">
        <v>4</v>
      </c>
      <c r="C56" s="9">
        <f>SUM(ปกติ58!E285:E286)</f>
        <v>0</v>
      </c>
      <c r="D56" s="9">
        <f>SUM(ปกติ58!I285:I286)</f>
        <v>0</v>
      </c>
      <c r="E56" s="9">
        <f>SUM(ปกติ58!M285:M286)</f>
        <v>0</v>
      </c>
      <c r="F56" s="10">
        <f>SUM(ปกติ58!Q285:Q286)</f>
        <v>0</v>
      </c>
    </row>
    <row r="57" spans="1:6" x14ac:dyDescent="0.55000000000000004">
      <c r="A57" s="5" t="s">
        <v>30</v>
      </c>
      <c r="B57" s="5" t="s">
        <v>3</v>
      </c>
      <c r="C57" s="6">
        <f>ปกติ58!D288</f>
        <v>53.11</v>
      </c>
      <c r="D57" s="6">
        <f>ปกติ58!H288</f>
        <v>48.56</v>
      </c>
      <c r="E57" s="6">
        <f>ปกติ58!L288</f>
        <v>0</v>
      </c>
      <c r="F57" s="7">
        <f>ปกติ58!P288</f>
        <v>50.83</v>
      </c>
    </row>
    <row r="58" spans="1:6" x14ac:dyDescent="0.55000000000000004">
      <c r="A58" s="8"/>
      <c r="B58" s="8" t="s">
        <v>4</v>
      </c>
      <c r="C58" s="9">
        <f>SUM(ปกติ58!E291:E292)</f>
        <v>0</v>
      </c>
      <c r="D58" s="9">
        <f>SUM(ปกติ58!I291:I292)</f>
        <v>0</v>
      </c>
      <c r="E58" s="9">
        <f>SUM(ปกติ58!M291:M292)</f>
        <v>0</v>
      </c>
      <c r="F58" s="10">
        <f>SUM(ปกติ58!Q291:Q292)</f>
        <v>0</v>
      </c>
    </row>
    <row r="59" spans="1:6" x14ac:dyDescent="0.55000000000000004">
      <c r="A59" s="53" t="s">
        <v>101</v>
      </c>
      <c r="B59" s="5" t="s">
        <v>3</v>
      </c>
      <c r="C59" s="6">
        <f>ปกติ58!D292</f>
        <v>296</v>
      </c>
      <c r="D59" s="6">
        <f>ปกติ58!H292</f>
        <v>242.83</v>
      </c>
      <c r="E59" s="6">
        <f>ปกติ58!L292</f>
        <v>0</v>
      </c>
      <c r="F59" s="7">
        <f>ปกติ58!P292</f>
        <v>269.42</v>
      </c>
    </row>
    <row r="60" spans="1:6" x14ac:dyDescent="0.55000000000000004">
      <c r="A60" s="8"/>
      <c r="B60" s="8" t="s">
        <v>4</v>
      </c>
      <c r="C60" s="9">
        <f>SUM(ปกติ58!E293:E294)</f>
        <v>0</v>
      </c>
      <c r="D60" s="9">
        <f>SUM(ปกติ58!I293:I294)</f>
        <v>0</v>
      </c>
      <c r="E60" s="9">
        <f>SUM(ปกติ58!M293:M294)</f>
        <v>0</v>
      </c>
      <c r="F60" s="10">
        <f>SUM(ปกติ58!Q293:Q294)</f>
        <v>0</v>
      </c>
    </row>
    <row r="61" spans="1:6" x14ac:dyDescent="0.55000000000000004">
      <c r="A61" s="11" t="s">
        <v>31</v>
      </c>
      <c r="B61" s="11"/>
      <c r="C61" s="12">
        <f>SUM(C3:C60)</f>
        <v>26021.070999999989</v>
      </c>
      <c r="D61" s="12">
        <f>SUM(D3:D60)</f>
        <v>22141.079999999998</v>
      </c>
      <c r="E61" s="12">
        <f>SUM(E3:E60)</f>
        <v>1391.451</v>
      </c>
      <c r="F61" s="13">
        <f>ROUND(SUM(C61:E61)/2,2)</f>
        <v>24776.799999999999</v>
      </c>
    </row>
  </sheetData>
  <pageMargins left="0.35433070866141736" right="0.23622047244094491" top="0.74803149606299213" bottom="0.74803149606299213" header="0.31496062992125984" footer="0.31496062992125984"/>
  <pageSetup paperSize="9" orientation="portrait" r:id="rId1"/>
  <headerFooter>
    <oddFooter>&amp;Cหน้า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A20" sqref="A20"/>
    </sheetView>
  </sheetViews>
  <sheetFormatPr defaultRowHeight="24" x14ac:dyDescent="0.55000000000000004"/>
  <cols>
    <col min="1" max="1" width="30.5" style="2" customWidth="1"/>
    <col min="2" max="2" width="9.625" style="2" customWidth="1"/>
    <col min="3" max="3" width="10.125" style="2" bestFit="1" customWidth="1"/>
    <col min="4" max="4" width="10" style="2" customWidth="1"/>
    <col min="5" max="5" width="10.25" style="2" customWidth="1"/>
    <col min="6" max="6" width="10.5" style="2" customWidth="1"/>
    <col min="7" max="16384" width="9" style="2"/>
  </cols>
  <sheetData>
    <row r="1" spans="1:6" ht="27.75" x14ac:dyDescent="0.65">
      <c r="A1" s="1" t="s">
        <v>117</v>
      </c>
      <c r="B1" s="1"/>
    </row>
    <row r="2" spans="1:6" x14ac:dyDescent="0.55000000000000004">
      <c r="A2" s="3" t="s">
        <v>0</v>
      </c>
      <c r="B2" s="3"/>
      <c r="C2" s="30" t="s">
        <v>105</v>
      </c>
      <c r="D2" s="30" t="s">
        <v>106</v>
      </c>
      <c r="E2" s="30" t="s">
        <v>119</v>
      </c>
      <c r="F2" s="4" t="s">
        <v>1</v>
      </c>
    </row>
    <row r="3" spans="1:6" x14ac:dyDescent="0.55000000000000004">
      <c r="A3" s="5" t="s">
        <v>2</v>
      </c>
      <c r="B3" s="5" t="s">
        <v>3</v>
      </c>
      <c r="C3" s="6">
        <f>พิเศษ58!D5</f>
        <v>1272.83</v>
      </c>
      <c r="D3" s="6">
        <f>พิเศษ58!H5</f>
        <v>1225.72</v>
      </c>
      <c r="E3" s="6">
        <f>พิเศษ58!L5</f>
        <v>686.11</v>
      </c>
      <c r="F3" s="7">
        <f>พิเศษ58!P5</f>
        <v>1592.33</v>
      </c>
    </row>
    <row r="4" spans="1:6" x14ac:dyDescent="0.55000000000000004">
      <c r="A4" s="8"/>
      <c r="B4" s="8" t="s">
        <v>4</v>
      </c>
      <c r="C4" s="9">
        <f>SUM(พิเศษ58!E6:E7)</f>
        <v>231.89400000000001</v>
      </c>
      <c r="D4" s="9">
        <f>SUM(พิเศษ58!I6:I7)</f>
        <v>163.20600000000002</v>
      </c>
      <c r="E4" s="9">
        <f>SUM(พิเศษ58!M6:M7)</f>
        <v>12.15</v>
      </c>
      <c r="F4" s="10">
        <f>SUM(พิเศษ58!Q6:Q7)</f>
        <v>203.63400000000001</v>
      </c>
    </row>
    <row r="5" spans="1:6" x14ac:dyDescent="0.55000000000000004">
      <c r="A5" s="5" t="s">
        <v>100</v>
      </c>
      <c r="B5" s="5" t="s">
        <v>3</v>
      </c>
      <c r="C5" s="6">
        <f>พิเศษ58!D9</f>
        <v>0</v>
      </c>
      <c r="D5" s="6">
        <f>พิเศษ58!H9</f>
        <v>0</v>
      </c>
      <c r="E5" s="6">
        <f>พิเศษ58!L9</f>
        <v>0</v>
      </c>
      <c r="F5" s="7">
        <f>พิเศษ58!P9</f>
        <v>0</v>
      </c>
    </row>
    <row r="6" spans="1:6" x14ac:dyDescent="0.55000000000000004">
      <c r="A6" s="8"/>
      <c r="B6" s="8" t="s">
        <v>4</v>
      </c>
      <c r="C6" s="9">
        <f>SUM(พิเศษ58!E10:E11)</f>
        <v>0</v>
      </c>
      <c r="D6" s="9">
        <f>SUM(พิเศษ58!I10:I11)</f>
        <v>0</v>
      </c>
      <c r="E6" s="9">
        <f>SUM(พิเศษ58!M10:M11)</f>
        <v>0</v>
      </c>
      <c r="F6" s="10">
        <f>SUM(พิเศษ58!Q10:Q11)</f>
        <v>0</v>
      </c>
    </row>
    <row r="7" spans="1:6" x14ac:dyDescent="0.55000000000000004">
      <c r="A7" s="5" t="s">
        <v>5</v>
      </c>
      <c r="B7" s="5" t="s">
        <v>3</v>
      </c>
      <c r="C7" s="6">
        <f>พิเศษ58!D13</f>
        <v>0</v>
      </c>
      <c r="D7" s="6">
        <f>พิเศษ58!H13</f>
        <v>0</v>
      </c>
      <c r="E7" s="6">
        <f>พิเศษ58!L13</f>
        <v>0</v>
      </c>
      <c r="F7" s="7">
        <f>พิเศษ58!P13</f>
        <v>0</v>
      </c>
    </row>
    <row r="8" spans="1:6" x14ac:dyDescent="0.55000000000000004">
      <c r="A8" s="8"/>
      <c r="B8" s="8" t="s">
        <v>4</v>
      </c>
      <c r="C8" s="9">
        <f>SUM(พิเศษ58!E14:E15)</f>
        <v>0</v>
      </c>
      <c r="D8" s="9">
        <f>SUM(พิเศษ58!I14:I15)</f>
        <v>0</v>
      </c>
      <c r="E8" s="9">
        <f>SUM(พิเศษ58!M14:M15)</f>
        <v>0</v>
      </c>
      <c r="F8" s="10">
        <f>SUM(พิเศษ58!Q14:Q15)</f>
        <v>0</v>
      </c>
    </row>
    <row r="9" spans="1:6" x14ac:dyDescent="0.55000000000000004">
      <c r="A9" s="5" t="s">
        <v>6</v>
      </c>
      <c r="B9" s="5" t="s">
        <v>3</v>
      </c>
      <c r="C9" s="6">
        <f>พิเศษ58!D17</f>
        <v>0</v>
      </c>
      <c r="D9" s="6">
        <f>พิเศษ58!H17</f>
        <v>39.44</v>
      </c>
      <c r="E9" s="6">
        <f>พิเศษ58!L17</f>
        <v>0</v>
      </c>
      <c r="F9" s="7">
        <f>พิเศษ58!P17</f>
        <v>19.72</v>
      </c>
    </row>
    <row r="10" spans="1:6" x14ac:dyDescent="0.55000000000000004">
      <c r="A10" s="8"/>
      <c r="B10" s="8" t="s">
        <v>4</v>
      </c>
      <c r="C10" s="9">
        <f>SUM(พิเศษ58!E18:E19)</f>
        <v>63.25</v>
      </c>
      <c r="D10" s="9">
        <f>SUM(พิเศษ58!I18:I19)</f>
        <v>54.5</v>
      </c>
      <c r="E10" s="9">
        <f>SUM(พิเศษ58!M18:M19)</f>
        <v>8</v>
      </c>
      <c r="F10" s="10">
        <f>SUM(พิเศษ58!Q18:Q19)</f>
        <v>62.88</v>
      </c>
    </row>
    <row r="11" spans="1:6" x14ac:dyDescent="0.55000000000000004">
      <c r="A11" s="5" t="s">
        <v>7</v>
      </c>
      <c r="B11" s="5" t="s">
        <v>3</v>
      </c>
      <c r="C11" s="6">
        <f>พิเศษ58!D48</f>
        <v>0</v>
      </c>
      <c r="D11" s="6">
        <f>พิเศษ58!H48</f>
        <v>0</v>
      </c>
      <c r="E11" s="6">
        <f>พิเศษ58!L48</f>
        <v>0</v>
      </c>
      <c r="F11" s="7">
        <f>พิเศษ58!P48</f>
        <v>0</v>
      </c>
    </row>
    <row r="12" spans="1:6" x14ac:dyDescent="0.55000000000000004">
      <c r="A12" s="8"/>
      <c r="B12" s="8" t="s">
        <v>4</v>
      </c>
      <c r="C12" s="9">
        <f>SUM(พิเศษ58!E49:E50)</f>
        <v>0</v>
      </c>
      <c r="D12" s="9">
        <f>SUM(พิเศษ58!I49:I50)</f>
        <v>0</v>
      </c>
      <c r="E12" s="9">
        <f>SUM(พิเศษ58!M49:M50)</f>
        <v>0</v>
      </c>
      <c r="F12" s="10">
        <f>SUM(พิเศษ58!Q49:Q50)</f>
        <v>0</v>
      </c>
    </row>
    <row r="13" spans="1:6" x14ac:dyDescent="0.55000000000000004">
      <c r="A13" s="5" t="s">
        <v>8</v>
      </c>
      <c r="B13" s="5" t="s">
        <v>3</v>
      </c>
      <c r="C13" s="6">
        <f>พิเศษ58!D52</f>
        <v>481.83</v>
      </c>
      <c r="D13" s="6">
        <f>พิเศษ58!H52</f>
        <v>492.67</v>
      </c>
      <c r="E13" s="6">
        <f>พิเศษ58!L52</f>
        <v>127.17</v>
      </c>
      <c r="F13" s="7">
        <f>พิเศษ58!P52</f>
        <v>550.83000000000004</v>
      </c>
    </row>
    <row r="14" spans="1:6" x14ac:dyDescent="0.55000000000000004">
      <c r="A14" s="8"/>
      <c r="B14" s="8" t="s">
        <v>4</v>
      </c>
      <c r="C14" s="9">
        <f>SUM(พิเศษ58!E53:E54)</f>
        <v>0</v>
      </c>
      <c r="D14" s="9">
        <f>SUM(พิเศษ58!I53:I54)</f>
        <v>0</v>
      </c>
      <c r="E14" s="9">
        <f>SUM(พิเศษ58!M53:M54)</f>
        <v>0</v>
      </c>
      <c r="F14" s="10">
        <f>SUM(พิเศษ58!Q53:Q54)</f>
        <v>0</v>
      </c>
    </row>
    <row r="15" spans="1:6" x14ac:dyDescent="0.55000000000000004">
      <c r="A15" s="5" t="s">
        <v>9</v>
      </c>
      <c r="B15" s="5" t="s">
        <v>3</v>
      </c>
      <c r="C15" s="6">
        <f>พิเศษ58!D56</f>
        <v>0</v>
      </c>
      <c r="D15" s="6">
        <f>พิเศษ58!H56</f>
        <v>0</v>
      </c>
      <c r="E15" s="6">
        <f>พิเศษ58!L56</f>
        <v>0</v>
      </c>
      <c r="F15" s="7">
        <f>พิเศษ58!P56</f>
        <v>0</v>
      </c>
    </row>
    <row r="16" spans="1:6" x14ac:dyDescent="0.55000000000000004">
      <c r="A16" s="8"/>
      <c r="B16" s="8" t="s">
        <v>4</v>
      </c>
      <c r="C16" s="9">
        <f>SUM(พิเศษ58!E57:E58)</f>
        <v>0</v>
      </c>
      <c r="D16" s="9">
        <f>SUM(พิเศษ58!I57:I58)</f>
        <v>0</v>
      </c>
      <c r="E16" s="9">
        <f>SUM(พิเศษ58!M57:M58)</f>
        <v>0</v>
      </c>
      <c r="F16" s="10">
        <f>SUM(พิเศษ58!Q57:Q58)</f>
        <v>0</v>
      </c>
    </row>
    <row r="17" spans="1:6" x14ac:dyDescent="0.55000000000000004">
      <c r="A17" s="5" t="s">
        <v>10</v>
      </c>
      <c r="B17" s="5" t="s">
        <v>3</v>
      </c>
      <c r="C17" s="6">
        <f>พิเศษ58!D93</f>
        <v>2359.44</v>
      </c>
      <c r="D17" s="6">
        <f>พิเศษ58!H93</f>
        <v>1879.72</v>
      </c>
      <c r="E17" s="6">
        <f>พิเศษ58!L93</f>
        <v>722.39</v>
      </c>
      <c r="F17" s="7">
        <f>พิเศษ58!P93</f>
        <v>2480.7800000000002</v>
      </c>
    </row>
    <row r="18" spans="1:6" x14ac:dyDescent="0.55000000000000004">
      <c r="A18" s="8"/>
      <c r="B18" s="8" t="s">
        <v>4</v>
      </c>
      <c r="C18" s="9">
        <f>SUM(พิเศษ58!E94:E95)</f>
        <v>97.2</v>
      </c>
      <c r="D18" s="9">
        <f>SUM(พิเศษ58!I94:I95)</f>
        <v>82.350000000000009</v>
      </c>
      <c r="E18" s="9">
        <f>SUM(พิเศษ58!M94:M95)</f>
        <v>1.494</v>
      </c>
      <c r="F18" s="10">
        <f>SUM(พิเศษ58!Q94:Q95)</f>
        <v>90.522000000000006</v>
      </c>
    </row>
    <row r="19" spans="1:6" x14ac:dyDescent="0.55000000000000004">
      <c r="A19" s="5" t="s">
        <v>11</v>
      </c>
      <c r="B19" s="5" t="s">
        <v>3</v>
      </c>
      <c r="C19" s="6">
        <f>พิเศษ58!D109</f>
        <v>2673.78</v>
      </c>
      <c r="D19" s="6">
        <f>พิเศษ58!H109</f>
        <v>2266.06</v>
      </c>
      <c r="E19" s="6">
        <f>พิเศษ58!L109</f>
        <v>1029.94</v>
      </c>
      <c r="F19" s="7">
        <f>พิเศษ58!P109</f>
        <v>2984.89</v>
      </c>
    </row>
    <row r="20" spans="1:6" x14ac:dyDescent="0.55000000000000004">
      <c r="A20" s="8"/>
      <c r="B20" s="8" t="s">
        <v>4</v>
      </c>
      <c r="C20" s="9">
        <f>SUM(พิเศษ58!E110:E111)</f>
        <v>302.09400000000005</v>
      </c>
      <c r="D20" s="9">
        <f>SUM(พิเศษ58!I110:I111)</f>
        <v>231.29999999999998</v>
      </c>
      <c r="E20" s="9">
        <f>SUM(พิเศษ58!M110:M111)</f>
        <v>79.649999999999991</v>
      </c>
      <c r="F20" s="10">
        <f>SUM(พิเศษ58!Q110:Q111)</f>
        <v>306.53999999999996</v>
      </c>
    </row>
    <row r="21" spans="1:6" x14ac:dyDescent="0.55000000000000004">
      <c r="A21" s="5" t="s">
        <v>12</v>
      </c>
      <c r="B21" s="5" t="s">
        <v>3</v>
      </c>
      <c r="C21" s="6">
        <f>พิเศษ58!D113</f>
        <v>442.56</v>
      </c>
      <c r="D21" s="6">
        <f>พิเศษ58!H113</f>
        <v>385.44</v>
      </c>
      <c r="E21" s="6">
        <f>พิเศษ58!L113</f>
        <v>206.44</v>
      </c>
      <c r="F21" s="7">
        <f>พิเศษ58!P113</f>
        <v>517.22</v>
      </c>
    </row>
    <row r="22" spans="1:6" x14ac:dyDescent="0.55000000000000004">
      <c r="A22" s="8"/>
      <c r="B22" s="8" t="s">
        <v>4</v>
      </c>
      <c r="C22" s="9">
        <f>SUM(พิเศษ58!E114:E115)</f>
        <v>214.5</v>
      </c>
      <c r="D22" s="9">
        <f>SUM(พิเศษ58!I114:I115)</f>
        <v>184.84</v>
      </c>
      <c r="E22" s="9">
        <f>SUM(พิเศษ58!M114:M115)</f>
        <v>111.66</v>
      </c>
      <c r="F22" s="10">
        <f>SUM(พิเศษ58!Q114:Q115)</f>
        <v>255.5</v>
      </c>
    </row>
    <row r="23" spans="1:6" x14ac:dyDescent="0.55000000000000004">
      <c r="A23" s="5" t="s">
        <v>13</v>
      </c>
      <c r="B23" s="5" t="s">
        <v>3</v>
      </c>
      <c r="C23" s="6">
        <f>พิเศษ58!D117</f>
        <v>527.72</v>
      </c>
      <c r="D23" s="6">
        <f>พิเศษ58!H117</f>
        <v>318.77999999999997</v>
      </c>
      <c r="E23" s="6">
        <f>พิเศษ58!L117</f>
        <v>102.67</v>
      </c>
      <c r="F23" s="7">
        <f>พิเศษ58!P117</f>
        <v>474.58</v>
      </c>
    </row>
    <row r="24" spans="1:6" x14ac:dyDescent="0.55000000000000004">
      <c r="A24" s="8"/>
      <c r="B24" s="8" t="s">
        <v>4</v>
      </c>
      <c r="C24" s="9">
        <f>SUM(พิเศษ58!E118:E119)</f>
        <v>31.66</v>
      </c>
      <c r="D24" s="9">
        <f>SUM(พิเศษ58!I118:I119)</f>
        <v>22.84</v>
      </c>
      <c r="E24" s="9">
        <f>SUM(พิเศษ58!M118:M119)</f>
        <v>0</v>
      </c>
      <c r="F24" s="10">
        <f>SUM(พิเศษ58!Q118:Q119)</f>
        <v>27.26</v>
      </c>
    </row>
    <row r="25" spans="1:6" x14ac:dyDescent="0.55000000000000004">
      <c r="A25" s="5" t="s">
        <v>14</v>
      </c>
      <c r="B25" s="5" t="s">
        <v>3</v>
      </c>
      <c r="C25" s="6">
        <f>พิเศษ58!D151</f>
        <v>849.17</v>
      </c>
      <c r="D25" s="6">
        <f>พิเศษ58!H151</f>
        <v>706.72</v>
      </c>
      <c r="E25" s="6">
        <f>พิเศษ58!L151</f>
        <v>176.44</v>
      </c>
      <c r="F25" s="7">
        <f>พิเศษ58!P151</f>
        <v>866.17</v>
      </c>
    </row>
    <row r="26" spans="1:6" x14ac:dyDescent="0.55000000000000004">
      <c r="A26" s="8"/>
      <c r="B26" s="8" t="s">
        <v>4</v>
      </c>
      <c r="C26" s="9">
        <f>SUM(พิเศษ58!E152:E153)</f>
        <v>134.66</v>
      </c>
      <c r="D26" s="9">
        <f>SUM(พิเศษ58!I152:I153)</f>
        <v>194.5</v>
      </c>
      <c r="E26" s="9">
        <f>SUM(พิเศษ58!M152:M153)</f>
        <v>0</v>
      </c>
      <c r="F26" s="10">
        <f>SUM(พิเศษ58!Q152:Q153)</f>
        <v>164.58</v>
      </c>
    </row>
    <row r="27" spans="1:6" x14ac:dyDescent="0.55000000000000004">
      <c r="A27" s="5" t="s">
        <v>15</v>
      </c>
      <c r="B27" s="5" t="s">
        <v>3</v>
      </c>
      <c r="C27" s="6">
        <f>พิเศษ58!D155</f>
        <v>179.28</v>
      </c>
      <c r="D27" s="6">
        <f>พิเศษ58!H155</f>
        <v>130.28</v>
      </c>
      <c r="E27" s="6">
        <f>พิเศษ58!L155</f>
        <v>68.44</v>
      </c>
      <c r="F27" s="7">
        <f>พิเศษ58!P155</f>
        <v>189</v>
      </c>
    </row>
    <row r="28" spans="1:6" x14ac:dyDescent="0.55000000000000004">
      <c r="A28" s="8"/>
      <c r="B28" s="8" t="s">
        <v>4</v>
      </c>
      <c r="C28" s="9">
        <f>SUM(พิเศษ58!E156:E157)</f>
        <v>0</v>
      </c>
      <c r="D28" s="9">
        <f>SUM(พิเศษ58!I156:I157)</f>
        <v>0</v>
      </c>
      <c r="E28" s="9">
        <f>SUM(พิเศษ58!M156:M157)</f>
        <v>0</v>
      </c>
      <c r="F28" s="10">
        <f>SUM(พิเศษ58!Q156:Q157)</f>
        <v>0</v>
      </c>
    </row>
    <row r="29" spans="1:6" x14ac:dyDescent="0.55000000000000004">
      <c r="A29" s="5" t="s">
        <v>16</v>
      </c>
      <c r="B29" s="5" t="s">
        <v>3</v>
      </c>
      <c r="C29" s="6">
        <f>พิเศษ58!D177</f>
        <v>641.28</v>
      </c>
      <c r="D29" s="6">
        <f>พิเศษ58!H177</f>
        <v>555.16999999999996</v>
      </c>
      <c r="E29" s="6">
        <f>พิเศษ58!L177</f>
        <v>101.11</v>
      </c>
      <c r="F29" s="7">
        <f>พิเศษ58!P177</f>
        <v>648.78</v>
      </c>
    </row>
    <row r="30" spans="1:6" x14ac:dyDescent="0.55000000000000004">
      <c r="A30" s="8"/>
      <c r="B30" s="8" t="s">
        <v>4</v>
      </c>
      <c r="C30" s="9">
        <f>SUM(พิเศษ58!E178:E179)</f>
        <v>125.84</v>
      </c>
      <c r="D30" s="9">
        <f>SUM(พิเศษ58!I178:I179)</f>
        <v>105.16</v>
      </c>
      <c r="E30" s="9">
        <f>SUM(พิเศษ58!M178:M179)</f>
        <v>4.84</v>
      </c>
      <c r="F30" s="10">
        <f>SUM(พิเศษ58!Q178:Q179)</f>
        <v>117.92</v>
      </c>
    </row>
    <row r="31" spans="1:6" x14ac:dyDescent="0.55000000000000004">
      <c r="A31" s="5" t="s">
        <v>17</v>
      </c>
      <c r="B31" s="5" t="s">
        <v>3</v>
      </c>
      <c r="C31" s="6">
        <f>พิเศษ58!D181</f>
        <v>264.5</v>
      </c>
      <c r="D31" s="6">
        <f>พิเศษ58!H181</f>
        <v>129.33000000000001</v>
      </c>
      <c r="E31" s="6">
        <f>พิเศษ58!L181</f>
        <v>109.33</v>
      </c>
      <c r="F31" s="7">
        <f>พิเศษ58!P181</f>
        <v>251.58</v>
      </c>
    </row>
    <row r="32" spans="1:6" x14ac:dyDescent="0.55000000000000004">
      <c r="A32" s="8"/>
      <c r="B32" s="8" t="s">
        <v>4</v>
      </c>
      <c r="C32" s="9">
        <f>SUM(พิเศษ58!E182:E183)</f>
        <v>61.65</v>
      </c>
      <c r="D32" s="9">
        <f>SUM(พิเศษ58!I182:I183)</f>
        <v>63</v>
      </c>
      <c r="E32" s="9">
        <f>SUM(พิเศษ58!M182:M183)</f>
        <v>0</v>
      </c>
      <c r="F32" s="10">
        <f>SUM(พิเศษ58!Q182:Q183)</f>
        <v>62.334000000000003</v>
      </c>
    </row>
    <row r="33" spans="1:6" x14ac:dyDescent="0.55000000000000004">
      <c r="A33" s="5" t="s">
        <v>18</v>
      </c>
      <c r="B33" s="5" t="s">
        <v>3</v>
      </c>
      <c r="C33" s="6">
        <f>พิเศษ58!D213</f>
        <v>514.28</v>
      </c>
      <c r="D33" s="6">
        <f>พิเศษ58!H213</f>
        <v>413.33</v>
      </c>
      <c r="E33" s="6">
        <f>พิเศษ58!L213</f>
        <v>330.83</v>
      </c>
      <c r="F33" s="7">
        <f>พิเศษ58!P213</f>
        <v>629.22</v>
      </c>
    </row>
    <row r="34" spans="1:6" x14ac:dyDescent="0.55000000000000004">
      <c r="A34" s="8"/>
      <c r="B34" s="8" t="s">
        <v>4</v>
      </c>
      <c r="C34" s="9">
        <f>SUM(พิเศษ58!E214:E216)</f>
        <v>1151.5049999999999</v>
      </c>
      <c r="D34" s="9">
        <f>SUM(พิเศษ58!I214:I216)</f>
        <v>1048.3799999999999</v>
      </c>
      <c r="E34" s="9">
        <f>SUM(พิเศษ58!M214:M216)</f>
        <v>660.495</v>
      </c>
      <c r="F34" s="10">
        <f>SUM(พิเศษ58!Q214:Q216)</f>
        <v>1430.19</v>
      </c>
    </row>
    <row r="35" spans="1:6" x14ac:dyDescent="0.55000000000000004">
      <c r="A35" s="5" t="s">
        <v>19</v>
      </c>
      <c r="B35" s="5" t="s">
        <v>3</v>
      </c>
      <c r="C35" s="6">
        <f>พิเศษ58!D218</f>
        <v>8.44</v>
      </c>
      <c r="D35" s="6">
        <f>พิเศษ58!H218</f>
        <v>6.33</v>
      </c>
      <c r="E35" s="6">
        <f>พิเศษ58!L218</f>
        <v>0</v>
      </c>
      <c r="F35" s="7">
        <f>พิเศษ58!P218</f>
        <v>7.39</v>
      </c>
    </row>
    <row r="36" spans="1:6" x14ac:dyDescent="0.55000000000000004">
      <c r="A36" s="8"/>
      <c r="B36" s="8" t="s">
        <v>4</v>
      </c>
      <c r="C36" s="9">
        <f>SUM(พิเศษ58!E219:E220)</f>
        <v>0</v>
      </c>
      <c r="D36" s="9">
        <f>SUM(พิเศษ58!I219:I220)</f>
        <v>0</v>
      </c>
      <c r="E36" s="9">
        <f>SUM(พิเศษ58!M219:M220)</f>
        <v>0</v>
      </c>
      <c r="F36" s="10">
        <f>SUM(พิเศษ58!Q219:Q220)</f>
        <v>0</v>
      </c>
    </row>
    <row r="37" spans="1:6" x14ac:dyDescent="0.55000000000000004">
      <c r="A37" s="5" t="s">
        <v>20</v>
      </c>
      <c r="B37" s="5" t="s">
        <v>3</v>
      </c>
      <c r="C37" s="6">
        <f>พิเศษ58!D237</f>
        <v>300.22000000000003</v>
      </c>
      <c r="D37" s="6">
        <f>พิเศษ58!H237</f>
        <v>203.78</v>
      </c>
      <c r="E37" s="6">
        <f>พิเศษ58!L237</f>
        <v>134.28</v>
      </c>
      <c r="F37" s="7">
        <f>พิเศษ58!P237</f>
        <v>319.14</v>
      </c>
    </row>
    <row r="38" spans="1:6" x14ac:dyDescent="0.55000000000000004">
      <c r="A38" s="8"/>
      <c r="B38" s="8" t="s">
        <v>4</v>
      </c>
      <c r="C38" s="9">
        <f>SUM(พิเศษ58!E238:E239)</f>
        <v>82.83</v>
      </c>
      <c r="D38" s="9">
        <f>SUM(พิเศษ58!I238:I239)</f>
        <v>55.75</v>
      </c>
      <c r="E38" s="9">
        <f>SUM(พิเศษ58!M238:M239)</f>
        <v>22</v>
      </c>
      <c r="F38" s="10">
        <f>SUM(พิเศษ58!Q238:Q239)</f>
        <v>80.290000000000006</v>
      </c>
    </row>
    <row r="39" spans="1:6" x14ac:dyDescent="0.55000000000000004">
      <c r="A39" s="5" t="s">
        <v>21</v>
      </c>
      <c r="B39" s="5" t="s">
        <v>3</v>
      </c>
      <c r="C39" s="6">
        <f>พิเศษ58!D241</f>
        <v>0</v>
      </c>
      <c r="D39" s="6">
        <f>พิเศษ58!H241</f>
        <v>0</v>
      </c>
      <c r="E39" s="6">
        <f>พิเศษ58!L241</f>
        <v>0</v>
      </c>
      <c r="F39" s="7">
        <f>พิเศษ58!P241</f>
        <v>0</v>
      </c>
    </row>
    <row r="40" spans="1:6" x14ac:dyDescent="0.55000000000000004">
      <c r="A40" s="8"/>
      <c r="B40" s="8" t="s">
        <v>4</v>
      </c>
      <c r="C40" s="9">
        <f>SUM(พิเศษ58!E242:E243)</f>
        <v>0</v>
      </c>
      <c r="D40" s="9">
        <f>SUM(พิเศษ58!I242:I243)</f>
        <v>0</v>
      </c>
      <c r="E40" s="9">
        <f>SUM(พิเศษ58!M242:M243)</f>
        <v>0</v>
      </c>
      <c r="F40" s="10">
        <f>SUM(พิเศษ58!Q242:Q243)</f>
        <v>0</v>
      </c>
    </row>
    <row r="41" spans="1:6" x14ac:dyDescent="0.55000000000000004">
      <c r="A41" s="5" t="s">
        <v>22</v>
      </c>
      <c r="B41" s="5" t="s">
        <v>3</v>
      </c>
      <c r="C41" s="6">
        <f>พิเศษ58!D245</f>
        <v>0</v>
      </c>
      <c r="D41" s="6">
        <f>พิเศษ58!H245</f>
        <v>0</v>
      </c>
      <c r="E41" s="6">
        <f>พิเศษ58!L245</f>
        <v>0</v>
      </c>
      <c r="F41" s="7">
        <f>พิเศษ58!P245</f>
        <v>0</v>
      </c>
    </row>
    <row r="42" spans="1:6" x14ac:dyDescent="0.55000000000000004">
      <c r="A42" s="8"/>
      <c r="B42" s="8" t="s">
        <v>4</v>
      </c>
      <c r="C42" s="9">
        <f>SUM(พิเศษ58!E246:E247)</f>
        <v>604.20600000000002</v>
      </c>
      <c r="D42" s="9">
        <f>SUM(พิเศษ58!I246:I247)</f>
        <v>536.09399999999994</v>
      </c>
      <c r="E42" s="9">
        <f>SUM(พิเศษ58!M246:M247)</f>
        <v>0</v>
      </c>
      <c r="F42" s="10">
        <f>SUM(พิเศษ58!Q246:Q247)</f>
        <v>570.15</v>
      </c>
    </row>
    <row r="43" spans="1:6" x14ac:dyDescent="0.55000000000000004">
      <c r="A43" s="5" t="s">
        <v>23</v>
      </c>
      <c r="B43" s="5" t="s">
        <v>3</v>
      </c>
      <c r="C43" s="6">
        <f>พิเศษ58!D249</f>
        <v>0</v>
      </c>
      <c r="D43" s="6">
        <f>พิเศษ58!H249</f>
        <v>0</v>
      </c>
      <c r="E43" s="6">
        <f>พิเศษ58!L249</f>
        <v>0</v>
      </c>
      <c r="F43" s="7">
        <f>พิเศษ58!P249</f>
        <v>0</v>
      </c>
    </row>
    <row r="44" spans="1:6" x14ac:dyDescent="0.55000000000000004">
      <c r="A44" s="8"/>
      <c r="B44" s="8" t="s">
        <v>4</v>
      </c>
      <c r="C44" s="9">
        <f>SUM(พิเศษ58!E250:E251)</f>
        <v>1191.0059999999999</v>
      </c>
      <c r="D44" s="9">
        <f>SUM(พิเศษ58!I250:I251)</f>
        <v>935.55000000000007</v>
      </c>
      <c r="E44" s="9">
        <f>SUM(พิเศษ58!M250:M251)</f>
        <v>472.64400000000001</v>
      </c>
      <c r="F44" s="10">
        <f>SUM(พิเศษ58!Q250:Q251)</f>
        <v>1299.6179999999999</v>
      </c>
    </row>
    <row r="45" spans="1:6" x14ac:dyDescent="0.55000000000000004">
      <c r="A45" s="5" t="s">
        <v>24</v>
      </c>
      <c r="B45" s="5" t="s">
        <v>3</v>
      </c>
      <c r="C45" s="6">
        <f>พิเศษ58!D253</f>
        <v>0</v>
      </c>
      <c r="D45" s="6">
        <f>พิเศษ58!H253</f>
        <v>0</v>
      </c>
      <c r="E45" s="6">
        <f>พิเศษ58!L253</f>
        <v>0</v>
      </c>
      <c r="F45" s="7">
        <f>พิเศษ58!P253</f>
        <v>0</v>
      </c>
    </row>
    <row r="46" spans="1:6" x14ac:dyDescent="0.55000000000000004">
      <c r="A46" s="8"/>
      <c r="B46" s="8" t="s">
        <v>4</v>
      </c>
      <c r="C46" s="9">
        <f>SUM(พิเศษ58!E254:E255)</f>
        <v>0</v>
      </c>
      <c r="D46" s="9">
        <f>SUM(พิเศษ58!I254:I255)</f>
        <v>0</v>
      </c>
      <c r="E46" s="9">
        <f>SUM(พิเศษ58!M254:M255)</f>
        <v>0</v>
      </c>
      <c r="F46" s="10">
        <f>SUM(พิเศษ58!Q254:Q255)</f>
        <v>0</v>
      </c>
    </row>
    <row r="47" spans="1:6" x14ac:dyDescent="0.55000000000000004">
      <c r="A47" s="5" t="s">
        <v>25</v>
      </c>
      <c r="B47" s="5" t="s">
        <v>3</v>
      </c>
      <c r="C47" s="6">
        <f>พิเศษ58!D257</f>
        <v>585.5</v>
      </c>
      <c r="D47" s="6">
        <f>พิเศษ58!H257</f>
        <v>625.5</v>
      </c>
      <c r="E47" s="6">
        <f>พิเศษ58!L257</f>
        <v>93.17</v>
      </c>
      <c r="F47" s="7">
        <f>พิเศษ58!P257</f>
        <v>652.08000000000004</v>
      </c>
    </row>
    <row r="48" spans="1:6" x14ac:dyDescent="0.55000000000000004">
      <c r="A48" s="8"/>
      <c r="B48" s="8" t="s">
        <v>4</v>
      </c>
      <c r="C48" s="9">
        <f>SUM(พิเศษ58!E258:E259)</f>
        <v>188.69400000000002</v>
      </c>
      <c r="D48" s="9">
        <f>SUM(พิเศษ58!I258:I259)</f>
        <v>93.006</v>
      </c>
      <c r="E48" s="9">
        <f>SUM(พิเศษ58!M258:M259)</f>
        <v>53.1</v>
      </c>
      <c r="F48" s="10">
        <f>SUM(พิเศษ58!Q258:Q259)</f>
        <v>167.4</v>
      </c>
    </row>
    <row r="49" spans="1:6" x14ac:dyDescent="0.55000000000000004">
      <c r="A49" s="5" t="s">
        <v>26</v>
      </c>
      <c r="B49" s="5" t="s">
        <v>3</v>
      </c>
      <c r="C49" s="6">
        <f>พิเศษ58!D266</f>
        <v>1.28</v>
      </c>
      <c r="D49" s="6">
        <f>พิเศษ58!H266</f>
        <v>0.44</v>
      </c>
      <c r="E49" s="6">
        <f>พิเศษ58!L266</f>
        <v>0</v>
      </c>
      <c r="F49" s="7">
        <f>พิเศษ58!P266</f>
        <v>0.86</v>
      </c>
    </row>
    <row r="50" spans="1:6" x14ac:dyDescent="0.55000000000000004">
      <c r="A50" s="8"/>
      <c r="B50" s="8" t="s">
        <v>4</v>
      </c>
      <c r="C50" s="9">
        <f>SUM(พิเศษ58!E267:E268)</f>
        <v>0</v>
      </c>
      <c r="D50" s="9">
        <f>SUM(พิเศษ58!I267:I268)</f>
        <v>0</v>
      </c>
      <c r="E50" s="9">
        <f>SUM(พิเศษ58!M267:M268)</f>
        <v>0</v>
      </c>
      <c r="F50" s="10">
        <f>SUM(พิเศษ58!Q267:Q268)</f>
        <v>0</v>
      </c>
    </row>
    <row r="51" spans="1:6" x14ac:dyDescent="0.55000000000000004">
      <c r="A51" s="5" t="s">
        <v>27</v>
      </c>
      <c r="B51" s="5" t="s">
        <v>3</v>
      </c>
      <c r="C51" s="6">
        <f>พิเศษ58!D270</f>
        <v>1.39</v>
      </c>
      <c r="D51" s="6">
        <f>พิเศษ58!H270</f>
        <v>0.5</v>
      </c>
      <c r="E51" s="6">
        <f>พิเศษ58!L270</f>
        <v>0</v>
      </c>
      <c r="F51" s="7">
        <f>พิเศษ58!P270</f>
        <v>0.94</v>
      </c>
    </row>
    <row r="52" spans="1:6" x14ac:dyDescent="0.55000000000000004">
      <c r="A52" s="8"/>
      <c r="B52" s="8" t="s">
        <v>4</v>
      </c>
      <c r="C52" s="9">
        <f>SUM(พิเศษ58!E271:E272)</f>
        <v>0</v>
      </c>
      <c r="D52" s="9">
        <f>SUM(พิเศษ58!I271:I272)</f>
        <v>0</v>
      </c>
      <c r="E52" s="9">
        <f>SUM(พิเศษ58!M271:M272)</f>
        <v>0</v>
      </c>
      <c r="F52" s="10">
        <f>SUM(พิเศษ58!Q271:Q272)</f>
        <v>0</v>
      </c>
    </row>
    <row r="53" spans="1:6" x14ac:dyDescent="0.55000000000000004">
      <c r="A53" s="5" t="s">
        <v>28</v>
      </c>
      <c r="B53" s="5" t="s">
        <v>3</v>
      </c>
      <c r="C53" s="6">
        <f>พิเศษ58!D274</f>
        <v>1</v>
      </c>
      <c r="D53" s="6">
        <f>พิเศษ58!H274</f>
        <v>0</v>
      </c>
      <c r="E53" s="6">
        <f>พิเศษ58!L274</f>
        <v>0</v>
      </c>
      <c r="F53" s="7">
        <f>พิเศษ58!P274</f>
        <v>0.5</v>
      </c>
    </row>
    <row r="54" spans="1:6" x14ac:dyDescent="0.55000000000000004">
      <c r="A54" s="8"/>
      <c r="B54" s="8" t="s">
        <v>4</v>
      </c>
      <c r="C54" s="9">
        <f>SUM(พิเศษ58!E275:E276)</f>
        <v>0</v>
      </c>
      <c r="D54" s="9">
        <f>SUM(พิเศษ58!I275:I276)</f>
        <v>0</v>
      </c>
      <c r="E54" s="9">
        <f>SUM(พิเศษ58!M275:M276)</f>
        <v>0</v>
      </c>
      <c r="F54" s="10">
        <f>SUM(พิเศษ58!Q275:Q276)</f>
        <v>0</v>
      </c>
    </row>
    <row r="55" spans="1:6" x14ac:dyDescent="0.55000000000000004">
      <c r="A55" s="5" t="s">
        <v>29</v>
      </c>
      <c r="B55" s="5" t="s">
        <v>3</v>
      </c>
      <c r="C55" s="6">
        <f>พิเศษ58!D284</f>
        <v>83.06</v>
      </c>
      <c r="D55" s="6">
        <f>พิเศษ58!H284</f>
        <v>71.67</v>
      </c>
      <c r="E55" s="6">
        <f>พิเศษ58!L284</f>
        <v>32.33</v>
      </c>
      <c r="F55" s="7">
        <f>พิเศษ58!P284</f>
        <v>93.53</v>
      </c>
    </row>
    <row r="56" spans="1:6" x14ac:dyDescent="0.55000000000000004">
      <c r="A56" s="8"/>
      <c r="B56" s="8" t="s">
        <v>4</v>
      </c>
      <c r="C56" s="9">
        <f>SUM(พิเศษ58!E285:E286)</f>
        <v>0</v>
      </c>
      <c r="D56" s="9">
        <f>SUM(พิเศษ58!I285:I286)</f>
        <v>0</v>
      </c>
      <c r="E56" s="9">
        <f>SUM(พิเศษ58!M285:M286)</f>
        <v>0</v>
      </c>
      <c r="F56" s="10">
        <f>SUM(พิเศษ58!Q285:Q286)</f>
        <v>0</v>
      </c>
    </row>
    <row r="57" spans="1:6" x14ac:dyDescent="0.55000000000000004">
      <c r="A57" s="5" t="s">
        <v>30</v>
      </c>
      <c r="B57" s="5" t="s">
        <v>3</v>
      </c>
      <c r="C57" s="6">
        <f>พิเศษ58!D288</f>
        <v>0</v>
      </c>
      <c r="D57" s="6">
        <f>พิเศษ58!H288</f>
        <v>0</v>
      </c>
      <c r="E57" s="6">
        <f>พิเศษ58!L288</f>
        <v>0</v>
      </c>
      <c r="F57" s="7">
        <f>พิเศษ58!P288</f>
        <v>0</v>
      </c>
    </row>
    <row r="58" spans="1:6" x14ac:dyDescent="0.55000000000000004">
      <c r="A58" s="8"/>
      <c r="B58" s="8" t="s">
        <v>4</v>
      </c>
      <c r="C58" s="9">
        <f>SUM(พิเศษ58!E289:E290)</f>
        <v>0</v>
      </c>
      <c r="D58" s="9">
        <f>SUM(พิเศษ58!I289:I290)</f>
        <v>0</v>
      </c>
      <c r="E58" s="9">
        <f>SUM(พิเศษ58!M289:M290)</f>
        <v>0</v>
      </c>
      <c r="F58" s="10">
        <f>SUM(พิเศษ58!Q289:Q290)</f>
        <v>0</v>
      </c>
    </row>
    <row r="59" spans="1:6" x14ac:dyDescent="0.55000000000000004">
      <c r="A59" s="11" t="s">
        <v>31</v>
      </c>
      <c r="B59" s="11"/>
      <c r="C59" s="12">
        <f>SUM(C3:C58)</f>
        <v>15668.548999999999</v>
      </c>
      <c r="D59" s="12">
        <f>SUM(D3:D58)</f>
        <v>13221.355999999998</v>
      </c>
      <c r="E59" s="12">
        <f>SUM(E3:E58)</f>
        <v>5346.6830000000009</v>
      </c>
      <c r="F59" s="13">
        <f>ROUND(SUM(E59:E59)/2,2)</f>
        <v>2673.34</v>
      </c>
    </row>
  </sheetData>
  <pageMargins left="0.35433070866141736" right="0.23622047244094491" top="0.74803149606299213" bottom="0.74803149606299213" header="0.31496062992125984" footer="0.31496062992125984"/>
  <pageSetup paperSize="9" orientation="portrait" r:id="rId1"/>
  <headerFooter>
    <oddFooter>&amp;Cหน้า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9" sqref="K9"/>
    </sheetView>
  </sheetViews>
  <sheetFormatPr defaultRowHeight="14.25" x14ac:dyDescent="0.2"/>
  <cols>
    <col min="1" max="1" width="28.75" bestFit="1" customWidth="1"/>
  </cols>
  <sheetData>
    <row r="1" spans="1:11" x14ac:dyDescent="0.2">
      <c r="B1" s="191" t="s">
        <v>113</v>
      </c>
      <c r="G1" s="193" t="s">
        <v>114</v>
      </c>
    </row>
    <row r="2" spans="1:11" x14ac:dyDescent="0.2">
      <c r="A2" s="190" t="s">
        <v>110</v>
      </c>
      <c r="B2">
        <v>33</v>
      </c>
      <c r="C2">
        <f>ROUND($C$10*B2,2)</f>
        <v>1394.74</v>
      </c>
      <c r="D2">
        <v>1395</v>
      </c>
      <c r="E2">
        <f>ROUND($E$10*B2,2)</f>
        <v>69.88</v>
      </c>
      <c r="F2">
        <v>70</v>
      </c>
      <c r="G2">
        <v>36</v>
      </c>
      <c r="H2">
        <f t="shared" ref="H2:H8" si="0">ROUND($H$10*G2,2)</f>
        <v>1490.09</v>
      </c>
      <c r="I2">
        <v>1490</v>
      </c>
      <c r="J2">
        <f>ROUND($J$10*G2,2)</f>
        <v>75.13</v>
      </c>
      <c r="K2">
        <v>75</v>
      </c>
    </row>
    <row r="3" spans="1:11" x14ac:dyDescent="0.2">
      <c r="A3" s="190" t="s">
        <v>78</v>
      </c>
      <c r="B3">
        <v>9</v>
      </c>
      <c r="C3">
        <f>ROUND($C$10*B3,2)</f>
        <v>380.38</v>
      </c>
      <c r="D3">
        <v>380</v>
      </c>
      <c r="E3">
        <f t="shared" ref="E3:E8" si="1">ROUND($E$10*B3,2)</f>
        <v>19.059999999999999</v>
      </c>
      <c r="F3">
        <v>19</v>
      </c>
      <c r="G3">
        <v>9</v>
      </c>
      <c r="H3">
        <f t="shared" si="0"/>
        <v>372.52</v>
      </c>
      <c r="I3">
        <v>373</v>
      </c>
      <c r="J3">
        <f t="shared" ref="J3:J8" si="2">ROUND($J$10*G3,2)</f>
        <v>18.78</v>
      </c>
      <c r="K3">
        <v>19</v>
      </c>
    </row>
    <row r="4" spans="1:11" x14ac:dyDescent="0.2">
      <c r="A4" s="190" t="s">
        <v>79</v>
      </c>
      <c r="B4" s="190">
        <v>0</v>
      </c>
      <c r="C4">
        <f t="shared" ref="C4:C7" si="3">ROUND($C$10*B4,2)</f>
        <v>0</v>
      </c>
      <c r="E4">
        <f t="shared" si="1"/>
        <v>0</v>
      </c>
      <c r="G4">
        <v>0</v>
      </c>
      <c r="H4">
        <f t="shared" si="0"/>
        <v>0</v>
      </c>
      <c r="J4">
        <f t="shared" si="2"/>
        <v>0</v>
      </c>
    </row>
    <row r="5" spans="1:11" x14ac:dyDescent="0.2">
      <c r="A5" s="190" t="s">
        <v>77</v>
      </c>
      <c r="B5" s="190">
        <v>14</v>
      </c>
      <c r="C5">
        <f t="shared" si="3"/>
        <v>591.71</v>
      </c>
      <c r="D5">
        <v>592</v>
      </c>
      <c r="E5">
        <f t="shared" si="1"/>
        <v>29.65</v>
      </c>
      <c r="F5">
        <v>30</v>
      </c>
      <c r="G5">
        <v>13</v>
      </c>
      <c r="H5">
        <f t="shared" si="0"/>
        <v>538.09</v>
      </c>
      <c r="I5">
        <v>538</v>
      </c>
      <c r="J5">
        <f t="shared" si="2"/>
        <v>27.13</v>
      </c>
      <c r="K5">
        <v>27</v>
      </c>
    </row>
    <row r="6" spans="1:11" x14ac:dyDescent="0.2">
      <c r="A6" s="190" t="s">
        <v>108</v>
      </c>
      <c r="B6" s="190">
        <v>7</v>
      </c>
      <c r="C6">
        <f t="shared" si="3"/>
        <v>295.85000000000002</v>
      </c>
      <c r="D6">
        <v>296</v>
      </c>
      <c r="E6">
        <f t="shared" si="1"/>
        <v>14.82</v>
      </c>
      <c r="F6">
        <v>15</v>
      </c>
      <c r="G6">
        <v>7</v>
      </c>
      <c r="H6">
        <f t="shared" si="0"/>
        <v>289.74</v>
      </c>
      <c r="I6">
        <v>290</v>
      </c>
      <c r="J6">
        <f t="shared" si="2"/>
        <v>14.61</v>
      </c>
      <c r="K6">
        <v>15</v>
      </c>
    </row>
    <row r="7" spans="1:11" x14ac:dyDescent="0.2">
      <c r="A7" s="190" t="s">
        <v>112</v>
      </c>
      <c r="B7" s="192">
        <v>3</v>
      </c>
      <c r="C7">
        <f t="shared" si="3"/>
        <v>126.79</v>
      </c>
      <c r="D7">
        <v>127</v>
      </c>
      <c r="E7">
        <f t="shared" si="1"/>
        <v>6.35</v>
      </c>
      <c r="F7">
        <v>6</v>
      </c>
      <c r="G7">
        <v>3</v>
      </c>
      <c r="H7">
        <f t="shared" si="0"/>
        <v>124.17</v>
      </c>
      <c r="I7">
        <v>124</v>
      </c>
      <c r="J7">
        <f t="shared" si="2"/>
        <v>6.26</v>
      </c>
      <c r="K7">
        <v>6</v>
      </c>
    </row>
    <row r="8" spans="1:11" x14ac:dyDescent="0.2">
      <c r="A8" s="190" t="s">
        <v>111</v>
      </c>
      <c r="B8" s="192">
        <v>2</v>
      </c>
      <c r="C8">
        <f>ROUND($C$10*B8,2)</f>
        <v>84.53</v>
      </c>
      <c r="D8">
        <v>84</v>
      </c>
      <c r="E8">
        <f t="shared" si="1"/>
        <v>4.24</v>
      </c>
      <c r="F8">
        <v>4</v>
      </c>
      <c r="G8">
        <v>1</v>
      </c>
      <c r="H8">
        <f t="shared" si="0"/>
        <v>41.39</v>
      </c>
      <c r="I8">
        <v>41</v>
      </c>
      <c r="J8">
        <f t="shared" si="2"/>
        <v>2.09</v>
      </c>
      <c r="K8">
        <v>2</v>
      </c>
    </row>
    <row r="9" spans="1:11" x14ac:dyDescent="0.2">
      <c r="B9">
        <f>SUM(B2:B8)</f>
        <v>68</v>
      </c>
      <c r="C9">
        <f>SUM(C2:C8)</f>
        <v>2874</v>
      </c>
      <c r="D9">
        <f>SUM(D2:D8)</f>
        <v>2874</v>
      </c>
      <c r="E9">
        <f>SUM(E2:E8)</f>
        <v>144</v>
      </c>
      <c r="F9">
        <f t="shared" ref="F9:K9" si="4">SUM(F2:F8)</f>
        <v>144</v>
      </c>
      <c r="G9">
        <f t="shared" si="4"/>
        <v>69</v>
      </c>
      <c r="H9">
        <f t="shared" si="4"/>
        <v>2855.9999999999995</v>
      </c>
      <c r="I9">
        <f t="shared" si="4"/>
        <v>2856</v>
      </c>
      <c r="J9">
        <f t="shared" si="4"/>
        <v>143.99999999999997</v>
      </c>
      <c r="K9">
        <f t="shared" si="4"/>
        <v>144</v>
      </c>
    </row>
    <row r="10" spans="1:11" x14ac:dyDescent="0.2">
      <c r="C10">
        <f>$B$11/B9</f>
        <v>42.264705882352942</v>
      </c>
      <c r="E10">
        <f>B12/B9</f>
        <v>2.1176470588235294</v>
      </c>
      <c r="H10">
        <f>$G$11/G9</f>
        <v>41.391304347826086</v>
      </c>
      <c r="J10">
        <f>$G$12/G9</f>
        <v>2.0869565217391304</v>
      </c>
    </row>
    <row r="11" spans="1:11" x14ac:dyDescent="0.2">
      <c r="B11" s="192">
        <v>2874</v>
      </c>
      <c r="G11">
        <v>2856</v>
      </c>
    </row>
    <row r="12" spans="1:11" x14ac:dyDescent="0.2">
      <c r="B12" s="192">
        <v>144</v>
      </c>
      <c r="G12">
        <v>144</v>
      </c>
    </row>
  </sheetData>
  <pageMargins left="0.7" right="0.42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ปกติ58</vt:lpstr>
      <vt:lpstr>พิเศษ58</vt:lpstr>
      <vt:lpstr>รวมปกติ</vt:lpstr>
      <vt:lpstr>รวมพิเศษ</vt:lpstr>
      <vt:lpstr>Sheet1</vt:lpstr>
      <vt:lpstr>ปกติ58!Print_Titles</vt:lpstr>
      <vt:lpstr>พิเศษ58!Print_Titles</vt:lpstr>
      <vt:lpstr>รวมปกติ!Print_Titles</vt:lpstr>
      <vt:lpstr>รวมพิเศษ!Print_Titles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</dc:creator>
  <cp:lastModifiedBy>cc</cp:lastModifiedBy>
  <cp:lastPrinted>2016-04-08T08:17:43Z</cp:lastPrinted>
  <dcterms:created xsi:type="dcterms:W3CDTF">2012-10-26T08:20:02Z</dcterms:created>
  <dcterms:modified xsi:type="dcterms:W3CDTF">2016-10-28T07:13:26Z</dcterms:modified>
</cp:coreProperties>
</file>