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D:\phubate\Backup\Download\"/>
    </mc:Choice>
  </mc:AlternateContent>
  <xr:revisionPtr revIDLastSave="0" documentId="13_ncr:1_{5E5C45B7-ECCC-4DB1-B2FC-FE2B0F26470A}" xr6:coauthVersionLast="47" xr6:coauthVersionMax="47" xr10:uidLastSave="{00000000-0000-0000-0000-000000000000}"/>
  <bookViews>
    <workbookView xWindow="-120" yWindow="-120" windowWidth="21840" windowHeight="13020" xr2:uid="{00000000-000D-0000-FFFF-FFFF00000000}"/>
  </bookViews>
  <sheets>
    <sheet name="ปกติ" sheetId="1" r:id="rId1"/>
    <sheet name="พิเศษ" sheetId="2" r:id="rId2"/>
    <sheet name="รวมปกติ" sheetId="3" r:id="rId3"/>
    <sheet name="รวมพิเศษ" sheetId="4" r:id="rId4"/>
    <sheet name="รวมปกติ+พิเศษ" sheetId="5" r:id="rId5"/>
  </sheets>
  <definedNames>
    <definedName name="_xlnm._FilterDatabase" localSheetId="0" hidden="1">ปกติ!$A$2:$R$3</definedName>
    <definedName name="ค้นหาคณะ">ปกติ!$A$4,ปกติ!$A$16,ปกติ!$A$20,ปกติ!$A$24,ปกติ!$A$55,ปกติ!$A$59,ปกติ!$A$63,ปกติ!$A$103,ปกติ!$A$116,ปกติ!$A$120,ปกติ!$A$124,ปกติ!$A$161,ปกติ!$A$165,ปกติ!$A$187,ปกติ!$A$191,ปกติ!$A$224,ปกติ!$A$253,ปกติ!$A$257,ปกติ!$A$261,ปกติ!$A$271,ปกติ!$A$275,ปกติ!$A$279,ปกติ!$A$288,ปกติ!$A$292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 i="5" l="1"/>
  <c r="E58" i="5"/>
  <c r="F58" i="5"/>
  <c r="G58" i="5"/>
  <c r="H58" i="5"/>
  <c r="I58" i="5"/>
  <c r="J58" i="5"/>
  <c r="K58" i="5"/>
  <c r="L58" i="5"/>
  <c r="M58" i="5"/>
  <c r="N58" i="5"/>
  <c r="O58" i="5"/>
  <c r="P58" i="5"/>
  <c r="Q58" i="5"/>
  <c r="R58" i="5"/>
  <c r="A7" i="5"/>
  <c r="B7" i="5"/>
  <c r="A9" i="5"/>
  <c r="B9" i="5"/>
  <c r="A11" i="5"/>
  <c r="B11" i="5"/>
  <c r="A13" i="5"/>
  <c r="B13" i="5"/>
  <c r="A15" i="5"/>
  <c r="B15" i="5"/>
  <c r="A17" i="5"/>
  <c r="B17" i="5"/>
  <c r="A19" i="5"/>
  <c r="B19" i="5"/>
  <c r="A21" i="5"/>
  <c r="B21" i="5"/>
  <c r="A23" i="5"/>
  <c r="B23" i="5"/>
  <c r="A25" i="5"/>
  <c r="B25" i="5"/>
  <c r="A27" i="5"/>
  <c r="B27" i="5"/>
  <c r="A29" i="5"/>
  <c r="B29" i="5"/>
  <c r="A31" i="5"/>
  <c r="B31" i="5"/>
  <c r="A33" i="5"/>
  <c r="B33" i="5"/>
  <c r="A35" i="5"/>
  <c r="B35" i="5"/>
  <c r="A37" i="5"/>
  <c r="B37" i="5"/>
  <c r="A39" i="5"/>
  <c r="B39" i="5"/>
  <c r="A41" i="5"/>
  <c r="B41" i="5"/>
  <c r="A43" i="5"/>
  <c r="B43" i="5"/>
  <c r="A45" i="5"/>
  <c r="B45" i="5"/>
  <c r="A47" i="5"/>
  <c r="B47" i="5"/>
  <c r="A49" i="5"/>
  <c r="B49" i="5"/>
  <c r="A51" i="5"/>
  <c r="B51" i="5"/>
  <c r="A53" i="5"/>
  <c r="B53" i="5"/>
  <c r="A55" i="5"/>
  <c r="B55" i="5"/>
  <c r="A57" i="5"/>
  <c r="B57" i="5"/>
  <c r="R7" i="5"/>
  <c r="L7" i="5"/>
  <c r="K7" i="5"/>
  <c r="J7" i="5"/>
  <c r="I7" i="5"/>
  <c r="G7" i="5"/>
  <c r="F7" i="5"/>
  <c r="E7" i="5"/>
  <c r="O7" i="5" s="1"/>
  <c r="D7" i="5"/>
  <c r="M6" i="5"/>
  <c r="L6" i="5"/>
  <c r="K6" i="5"/>
  <c r="J6" i="5"/>
  <c r="I6" i="5"/>
  <c r="H6" i="5"/>
  <c r="G6" i="5"/>
  <c r="F6" i="5"/>
  <c r="E6" i="5"/>
  <c r="O6" i="5" s="1"/>
  <c r="D6" i="5"/>
  <c r="R9" i="5"/>
  <c r="L9" i="5"/>
  <c r="K9" i="5"/>
  <c r="J9" i="5"/>
  <c r="I9" i="5"/>
  <c r="G9" i="5"/>
  <c r="F9" i="5"/>
  <c r="E9" i="5"/>
  <c r="D9" i="5"/>
  <c r="M8" i="5"/>
  <c r="L8" i="5"/>
  <c r="K8" i="5"/>
  <c r="J8" i="5"/>
  <c r="I8" i="5"/>
  <c r="H8" i="5"/>
  <c r="G8" i="5"/>
  <c r="F8" i="5"/>
  <c r="E8" i="5"/>
  <c r="D8" i="5"/>
  <c r="F6" i="4"/>
  <c r="E6" i="4"/>
  <c r="D6" i="4"/>
  <c r="C6" i="4"/>
  <c r="F5" i="4"/>
  <c r="G5" i="4" s="1"/>
  <c r="E5" i="4"/>
  <c r="D5" i="4"/>
  <c r="C5" i="4"/>
  <c r="A5" i="4"/>
  <c r="A5" i="3"/>
  <c r="A7" i="3"/>
  <c r="F8" i="3"/>
  <c r="E8" i="3"/>
  <c r="D8" i="3"/>
  <c r="F7" i="3"/>
  <c r="E7" i="3"/>
  <c r="D7" i="3"/>
  <c r="F6" i="3"/>
  <c r="E6" i="3"/>
  <c r="D6" i="3"/>
  <c r="F5" i="3"/>
  <c r="E5" i="3"/>
  <c r="D5" i="3"/>
  <c r="C8" i="3"/>
  <c r="C7" i="3"/>
  <c r="C6" i="3"/>
  <c r="C5" i="3"/>
  <c r="C15" i="2"/>
  <c r="C237" i="1"/>
  <c r="C190" i="1"/>
  <c r="C119" i="1"/>
  <c r="C62" i="1"/>
  <c r="C226" i="2"/>
  <c r="C111" i="2"/>
  <c r="C18" i="2"/>
  <c r="C14" i="2"/>
  <c r="C122" i="1"/>
  <c r="C22" i="1"/>
  <c r="C150" i="1"/>
  <c r="O11" i="2"/>
  <c r="P11" i="2" s="1"/>
  <c r="Q11" i="2" s="1"/>
  <c r="L11" i="2"/>
  <c r="M11" i="2" s="1"/>
  <c r="H11" i="2"/>
  <c r="I11" i="2" s="1"/>
  <c r="E11" i="2"/>
  <c r="D11" i="2"/>
  <c r="O10" i="2"/>
  <c r="P10" i="2" s="1"/>
  <c r="Q10" i="2" s="1"/>
  <c r="L10" i="2"/>
  <c r="M10" i="2" s="1"/>
  <c r="H10" i="2"/>
  <c r="I10" i="2" s="1"/>
  <c r="E10" i="2"/>
  <c r="D10" i="2"/>
  <c r="O9" i="2"/>
  <c r="P9" i="2" s="1"/>
  <c r="R9" i="2" s="1"/>
  <c r="L9" i="2"/>
  <c r="H9" i="2"/>
  <c r="D9" i="2"/>
  <c r="F9" i="2" s="1"/>
  <c r="C178" i="2"/>
  <c r="C152" i="2"/>
  <c r="C110" i="2"/>
  <c r="C13" i="2"/>
  <c r="C289" i="1"/>
  <c r="C293" i="1"/>
  <c r="C149" i="1"/>
  <c r="C280" i="1"/>
  <c r="C276" i="1"/>
  <c r="C272" i="1"/>
  <c r="C17" i="1"/>
  <c r="C232" i="1"/>
  <c r="C82" i="1"/>
  <c r="C5" i="1"/>
  <c r="O15" i="1"/>
  <c r="P15" i="1" s="1"/>
  <c r="Q15" i="1" s="1"/>
  <c r="L15" i="1"/>
  <c r="M15" i="1" s="1"/>
  <c r="H15" i="1"/>
  <c r="I15" i="1" s="1"/>
  <c r="D15" i="1"/>
  <c r="E15" i="1" s="1"/>
  <c r="O14" i="1"/>
  <c r="P14" i="1" s="1"/>
  <c r="Q14" i="1" s="1"/>
  <c r="L14" i="1"/>
  <c r="M14" i="1" s="1"/>
  <c r="H14" i="1"/>
  <c r="I14" i="1" s="1"/>
  <c r="D14" i="1"/>
  <c r="E14" i="1" s="1"/>
  <c r="O13" i="1"/>
  <c r="P13" i="1" s="1"/>
  <c r="R13" i="1" s="1"/>
  <c r="L13" i="1"/>
  <c r="N13" i="1" s="1"/>
  <c r="H13" i="1"/>
  <c r="D13" i="1"/>
  <c r="C254" i="1"/>
  <c r="C225" i="1"/>
  <c r="C188" i="1"/>
  <c r="C162" i="1"/>
  <c r="C121" i="1"/>
  <c r="C117" i="1"/>
  <c r="C60" i="1"/>
  <c r="C21" i="1"/>
  <c r="O11" i="1"/>
  <c r="P11" i="1" s="1"/>
  <c r="Q11" i="1" s="1"/>
  <c r="L11" i="1"/>
  <c r="M11" i="1" s="1"/>
  <c r="H11" i="1"/>
  <c r="I11" i="1" s="1"/>
  <c r="D11" i="1"/>
  <c r="E11" i="1" s="1"/>
  <c r="O10" i="1"/>
  <c r="P10" i="1" s="1"/>
  <c r="Q10" i="1" s="1"/>
  <c r="L10" i="1"/>
  <c r="M10" i="1" s="1"/>
  <c r="H10" i="1"/>
  <c r="I10" i="1" s="1"/>
  <c r="D10" i="1"/>
  <c r="E10" i="1" s="1"/>
  <c r="O9" i="1"/>
  <c r="P9" i="1" s="1"/>
  <c r="L9" i="1"/>
  <c r="H9" i="1"/>
  <c r="D9" i="1"/>
  <c r="C175" i="1"/>
  <c r="C152" i="1"/>
  <c r="C125" i="1"/>
  <c r="C158" i="1" s="1"/>
  <c r="C235" i="1"/>
  <c r="C244" i="1"/>
  <c r="C107" i="1"/>
  <c r="C25" i="1"/>
  <c r="P240" i="1"/>
  <c r="Q240" i="1" s="1"/>
  <c r="P239" i="1"/>
  <c r="Q239" i="1" s="1"/>
  <c r="P238" i="1"/>
  <c r="L240" i="1"/>
  <c r="M240" i="1" s="1"/>
  <c r="L239" i="1"/>
  <c r="M239" i="1" s="1"/>
  <c r="L238" i="1"/>
  <c r="H240" i="1"/>
  <c r="I240" i="1" s="1"/>
  <c r="H239" i="1"/>
  <c r="I239" i="1" s="1"/>
  <c r="H238" i="1"/>
  <c r="D240" i="1"/>
  <c r="E240" i="1" s="1"/>
  <c r="D239" i="1"/>
  <c r="E239" i="1" s="1"/>
  <c r="D238" i="1"/>
  <c r="K160" i="1"/>
  <c r="K159" i="1"/>
  <c r="K158" i="1"/>
  <c r="G160" i="1"/>
  <c r="G159" i="1"/>
  <c r="C160" i="1"/>
  <c r="C159" i="1"/>
  <c r="P157" i="1"/>
  <c r="Q157" i="1" s="1"/>
  <c r="P156" i="1"/>
  <c r="Q156" i="1" s="1"/>
  <c r="P155" i="1"/>
  <c r="L157" i="1"/>
  <c r="M157" i="1" s="1"/>
  <c r="L156" i="1"/>
  <c r="M156" i="1" s="1"/>
  <c r="L155" i="1"/>
  <c r="H157" i="1"/>
  <c r="I157" i="1" s="1"/>
  <c r="H156" i="1"/>
  <c r="I156" i="1" s="1"/>
  <c r="H155" i="1"/>
  <c r="D157" i="1"/>
  <c r="E157" i="1" s="1"/>
  <c r="D156" i="1"/>
  <c r="E156" i="1" s="1"/>
  <c r="D155" i="1"/>
  <c r="P87" i="1"/>
  <c r="Q87" i="1" s="1"/>
  <c r="P86" i="1"/>
  <c r="Q86" i="1" s="1"/>
  <c r="P85" i="1"/>
  <c r="L87" i="1"/>
  <c r="M87" i="1" s="1"/>
  <c r="L86" i="1"/>
  <c r="M86" i="1" s="1"/>
  <c r="L85" i="1"/>
  <c r="H87" i="1"/>
  <c r="I87" i="1" s="1"/>
  <c r="H86" i="1"/>
  <c r="I86" i="1" s="1"/>
  <c r="H85" i="1"/>
  <c r="D87" i="1"/>
  <c r="E87" i="1" s="1"/>
  <c r="D86" i="1"/>
  <c r="E86" i="1" s="1"/>
  <c r="D85" i="1"/>
  <c r="C54" i="4"/>
  <c r="I57" i="5" s="1"/>
  <c r="C53" i="4"/>
  <c r="I56" i="5" s="1"/>
  <c r="F45" i="4"/>
  <c r="L48" i="5" s="1"/>
  <c r="F46" i="4"/>
  <c r="L49" i="5" s="1"/>
  <c r="F51" i="4"/>
  <c r="L54" i="5" s="1"/>
  <c r="F52" i="4"/>
  <c r="L55" i="5" s="1"/>
  <c r="P7" i="5" l="1"/>
  <c r="Q7" i="5"/>
  <c r="Q6" i="5"/>
  <c r="N7" i="5"/>
  <c r="N9" i="5"/>
  <c r="N8" i="5"/>
  <c r="O8" i="5"/>
  <c r="R6" i="5"/>
  <c r="Q9" i="5"/>
  <c r="P8" i="5"/>
  <c r="Q8" i="5"/>
  <c r="N6" i="5"/>
  <c r="P6" i="5"/>
  <c r="P9" i="5"/>
  <c r="R8" i="5"/>
  <c r="O9" i="5"/>
  <c r="G7" i="3"/>
  <c r="G5" i="3"/>
  <c r="J13" i="1"/>
  <c r="J9" i="2"/>
  <c r="N9" i="2"/>
  <c r="F13" i="1"/>
  <c r="R9" i="1"/>
  <c r="N9" i="1"/>
  <c r="J9" i="1"/>
  <c r="F9" i="1"/>
  <c r="R238" i="1"/>
  <c r="F238" i="1"/>
  <c r="N238" i="1"/>
  <c r="J238" i="1"/>
  <c r="J85" i="1"/>
  <c r="J155" i="1"/>
  <c r="R155" i="1"/>
  <c r="F155" i="1"/>
  <c r="N155" i="1"/>
  <c r="N85" i="1"/>
  <c r="R85" i="1"/>
  <c r="F85" i="1"/>
  <c r="O264" i="1"/>
  <c r="O263" i="1"/>
  <c r="O262" i="1"/>
  <c r="O260" i="1"/>
  <c r="O259" i="1"/>
  <c r="O258" i="1"/>
  <c r="O256" i="1"/>
  <c r="O255" i="1"/>
  <c r="O254" i="1"/>
  <c r="O249" i="1"/>
  <c r="O248" i="1"/>
  <c r="O247" i="1"/>
  <c r="O246" i="1"/>
  <c r="O245" i="1"/>
  <c r="O244" i="1"/>
  <c r="O243" i="1"/>
  <c r="O242" i="1"/>
  <c r="O241" i="1"/>
  <c r="O237" i="1"/>
  <c r="O236" i="1"/>
  <c r="O235" i="1"/>
  <c r="O234" i="1"/>
  <c r="O233" i="1"/>
  <c r="O232" i="1"/>
  <c r="O231" i="1"/>
  <c r="O230" i="1"/>
  <c r="O229" i="1"/>
  <c r="O227" i="1"/>
  <c r="O226" i="1"/>
  <c r="O225"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0" i="1"/>
  <c r="O189" i="1"/>
  <c r="O188" i="1"/>
  <c r="O183" i="1"/>
  <c r="O182" i="1"/>
  <c r="O181" i="1"/>
  <c r="O180" i="1"/>
  <c r="O179" i="1"/>
  <c r="O178" i="1"/>
  <c r="O177" i="1"/>
  <c r="O176" i="1"/>
  <c r="O175" i="1"/>
  <c r="O174" i="1"/>
  <c r="O173" i="1"/>
  <c r="O172" i="1"/>
  <c r="O171" i="1"/>
  <c r="O170" i="1"/>
  <c r="O169" i="1"/>
  <c r="O168" i="1"/>
  <c r="O167" i="1"/>
  <c r="O164" i="1"/>
  <c r="O163" i="1"/>
  <c r="O162" i="1"/>
  <c r="O154" i="1"/>
  <c r="O153" i="1"/>
  <c r="O152" i="1"/>
  <c r="O151" i="1"/>
  <c r="O150" i="1"/>
  <c r="O148" i="1"/>
  <c r="O147" i="1"/>
  <c r="O146" i="1"/>
  <c r="O145" i="1"/>
  <c r="O144" i="1"/>
  <c r="O143" i="1"/>
  <c r="O142" i="1"/>
  <c r="O141" i="1"/>
  <c r="O140" i="1"/>
  <c r="O139" i="1"/>
  <c r="O138" i="1"/>
  <c r="O137" i="1"/>
  <c r="O136" i="1"/>
  <c r="O135" i="1"/>
  <c r="O134" i="1"/>
  <c r="O133" i="1"/>
  <c r="O132" i="1"/>
  <c r="O131" i="1"/>
  <c r="O130" i="1"/>
  <c r="O129" i="1"/>
  <c r="O128" i="1"/>
  <c r="O127" i="1"/>
  <c r="O126" i="1"/>
  <c r="O125" i="1"/>
  <c r="O123" i="1"/>
  <c r="O122" i="1"/>
  <c r="O121" i="1"/>
  <c r="O119" i="1"/>
  <c r="O118" i="1"/>
  <c r="O117" i="1"/>
  <c r="O112" i="1"/>
  <c r="O111" i="1"/>
  <c r="O110" i="1"/>
  <c r="O109" i="1"/>
  <c r="O108" i="1"/>
  <c r="O107" i="1"/>
  <c r="O106" i="1"/>
  <c r="O105" i="1"/>
  <c r="O104" i="1"/>
  <c r="O99" i="1"/>
  <c r="O98" i="1"/>
  <c r="O97" i="1"/>
  <c r="O96" i="1"/>
  <c r="O95" i="1"/>
  <c r="O94" i="1"/>
  <c r="O93" i="1"/>
  <c r="O92" i="1"/>
  <c r="O91" i="1"/>
  <c r="O90" i="1"/>
  <c r="O89" i="1"/>
  <c r="O88" i="1"/>
  <c r="O84" i="1"/>
  <c r="O83" i="1"/>
  <c r="O82" i="1"/>
  <c r="O81" i="1"/>
  <c r="O80" i="1"/>
  <c r="O79" i="1"/>
  <c r="O78" i="1"/>
  <c r="O77" i="1"/>
  <c r="O76" i="1"/>
  <c r="O75" i="1"/>
  <c r="O74" i="1"/>
  <c r="O73" i="1"/>
  <c r="O72" i="1"/>
  <c r="O71" i="1"/>
  <c r="O70" i="1"/>
  <c r="O69" i="1"/>
  <c r="O68" i="1"/>
  <c r="O67" i="1"/>
  <c r="O66" i="1"/>
  <c r="O65" i="1"/>
  <c r="O64" i="1"/>
  <c r="O62" i="1"/>
  <c r="O61" i="1"/>
  <c r="O60" i="1"/>
  <c r="O58" i="1"/>
  <c r="O57" i="1"/>
  <c r="O56" i="1"/>
  <c r="O51" i="1"/>
  <c r="O50" i="1"/>
  <c r="O49" i="1"/>
  <c r="O48" i="1"/>
  <c r="O47" i="1"/>
  <c r="O46" i="1"/>
  <c r="O45" i="1"/>
  <c r="O44" i="1"/>
  <c r="O43" i="1"/>
  <c r="O42" i="1"/>
  <c r="O41" i="1"/>
  <c r="O40" i="1"/>
  <c r="O39" i="1"/>
  <c r="O38" i="1"/>
  <c r="O37" i="1"/>
  <c r="O36" i="1"/>
  <c r="O35" i="1"/>
  <c r="O34" i="1"/>
  <c r="O33" i="1"/>
  <c r="O32" i="1"/>
  <c r="O31" i="1"/>
  <c r="O30" i="1"/>
  <c r="O29" i="1"/>
  <c r="O28" i="1"/>
  <c r="O27" i="1"/>
  <c r="O26" i="1"/>
  <c r="O23" i="1"/>
  <c r="O22" i="1"/>
  <c r="O21" i="1"/>
  <c r="O19" i="1"/>
  <c r="O18" i="1"/>
  <c r="O17" i="1"/>
  <c r="O7" i="1"/>
  <c r="O6" i="1"/>
  <c r="O5" i="1"/>
  <c r="K298" i="1"/>
  <c r="K297" i="1"/>
  <c r="K296" i="1"/>
  <c r="G298" i="1"/>
  <c r="G297" i="1"/>
  <c r="C298" i="1"/>
  <c r="C297" i="1"/>
  <c r="C296" i="1"/>
  <c r="K285" i="1"/>
  <c r="K284" i="1"/>
  <c r="K283" i="1"/>
  <c r="G285" i="1"/>
  <c r="G284" i="1"/>
  <c r="G283" i="1"/>
  <c r="H277" i="1"/>
  <c r="H281" i="1"/>
  <c r="C285" i="1"/>
  <c r="C284" i="1"/>
  <c r="C283" i="1"/>
  <c r="G266" i="1"/>
  <c r="G300" i="1" s="1"/>
  <c r="C268" i="1"/>
  <c r="C302" i="1" s="1"/>
  <c r="C265" i="1"/>
  <c r="K252" i="1"/>
  <c r="K251" i="1"/>
  <c r="K250" i="1"/>
  <c r="G252" i="1"/>
  <c r="G251" i="1"/>
  <c r="G267" i="1" s="1"/>
  <c r="G301" i="1" s="1"/>
  <c r="G250" i="1"/>
  <c r="C252" i="1"/>
  <c r="C251" i="1"/>
  <c r="C250" i="1"/>
  <c r="K223" i="1"/>
  <c r="K222" i="1"/>
  <c r="K221" i="1"/>
  <c r="K266" i="1" s="1"/>
  <c r="K300" i="1" s="1"/>
  <c r="K220" i="1"/>
  <c r="G223" i="1"/>
  <c r="G222" i="1"/>
  <c r="G221" i="1"/>
  <c r="G220" i="1"/>
  <c r="C223" i="1"/>
  <c r="C222" i="1"/>
  <c r="C221" i="1"/>
  <c r="C266" i="1" s="1"/>
  <c r="C300" i="1" s="1"/>
  <c r="C220" i="1"/>
  <c r="K186" i="1"/>
  <c r="K185" i="1"/>
  <c r="G186" i="1"/>
  <c r="G185" i="1"/>
  <c r="C186" i="1"/>
  <c r="C185" i="1"/>
  <c r="C184" i="1"/>
  <c r="G115" i="1"/>
  <c r="G114" i="1"/>
  <c r="G113" i="1"/>
  <c r="C115" i="1"/>
  <c r="C114" i="1"/>
  <c r="C113" i="1"/>
  <c r="K102" i="1"/>
  <c r="K101" i="1"/>
  <c r="K100" i="1"/>
  <c r="G102" i="1"/>
  <c r="G101" i="1"/>
  <c r="G100" i="1"/>
  <c r="C102" i="1"/>
  <c r="C101" i="1"/>
  <c r="C267" i="1" s="1"/>
  <c r="C301" i="1" s="1"/>
  <c r="C100" i="1"/>
  <c r="K54" i="1"/>
  <c r="L54" i="1" s="1"/>
  <c r="M54" i="1" s="1"/>
  <c r="K53" i="1"/>
  <c r="L53" i="1" s="1"/>
  <c r="M53" i="1" s="1"/>
  <c r="K52" i="1"/>
  <c r="L52" i="1" s="1"/>
  <c r="E13" i="3" s="1"/>
  <c r="F14" i="5" s="1"/>
  <c r="G54" i="1"/>
  <c r="H54" i="1" s="1"/>
  <c r="I54" i="1" s="1"/>
  <c r="G53" i="1"/>
  <c r="H53" i="1" s="1"/>
  <c r="I53" i="1" s="1"/>
  <c r="D14" i="3" s="1"/>
  <c r="E15" i="5" s="1"/>
  <c r="C54" i="1"/>
  <c r="D54" i="1" s="1"/>
  <c r="E54" i="1" s="1"/>
  <c r="C53" i="1"/>
  <c r="D53" i="1" s="1"/>
  <c r="E53" i="1" s="1"/>
  <c r="C52" i="1"/>
  <c r="D52" i="1" s="1"/>
  <c r="C13" i="3" s="1"/>
  <c r="D14" i="5" s="1"/>
  <c r="D276" i="2"/>
  <c r="C51" i="4" s="1"/>
  <c r="I54" i="5" s="1"/>
  <c r="D277" i="2"/>
  <c r="D278" i="2"/>
  <c r="K285" i="2"/>
  <c r="K284" i="2"/>
  <c r="K288" i="2" s="1"/>
  <c r="K283" i="2"/>
  <c r="K286" i="2" s="1"/>
  <c r="G285" i="2"/>
  <c r="G284" i="2"/>
  <c r="G283" i="2"/>
  <c r="K253" i="2"/>
  <c r="K287" i="2" s="1"/>
  <c r="G253" i="2"/>
  <c r="G287" i="2" s="1"/>
  <c r="C253" i="2"/>
  <c r="C287" i="2" s="1"/>
  <c r="O282" i="2"/>
  <c r="O281" i="2"/>
  <c r="O280" i="2"/>
  <c r="O279" i="2"/>
  <c r="O278" i="2"/>
  <c r="O285" i="2" s="1"/>
  <c r="O277" i="2"/>
  <c r="O284" i="2" s="1"/>
  <c r="O276" i="2"/>
  <c r="K272" i="2"/>
  <c r="K271" i="2"/>
  <c r="K270" i="2"/>
  <c r="G272" i="2"/>
  <c r="G271" i="2"/>
  <c r="G270" i="2"/>
  <c r="O269" i="2"/>
  <c r="O268" i="2"/>
  <c r="O267" i="2"/>
  <c r="O266" i="2"/>
  <c r="O265" i="2"/>
  <c r="O264" i="2"/>
  <c r="O263" i="2"/>
  <c r="O262" i="2"/>
  <c r="O261" i="2"/>
  <c r="O260" i="2"/>
  <c r="O259" i="2"/>
  <c r="O7" i="2"/>
  <c r="O6" i="2"/>
  <c r="O5" i="2"/>
  <c r="O19" i="2"/>
  <c r="O18" i="2"/>
  <c r="O17" i="2"/>
  <c r="O16" i="2"/>
  <c r="O15" i="2"/>
  <c r="O14" i="2"/>
  <c r="O47" i="2"/>
  <c r="O46" i="2"/>
  <c r="O45" i="2"/>
  <c r="O44" i="2"/>
  <c r="O43" i="2"/>
  <c r="O42" i="2"/>
  <c r="O41" i="2"/>
  <c r="O40" i="2"/>
  <c r="O39" i="2"/>
  <c r="O38" i="2"/>
  <c r="O37" i="2"/>
  <c r="O36" i="2"/>
  <c r="O35" i="2"/>
  <c r="O34" i="2"/>
  <c r="O33" i="2"/>
  <c r="O32" i="2"/>
  <c r="O31" i="2"/>
  <c r="O30" i="2"/>
  <c r="O29" i="2"/>
  <c r="O28" i="2"/>
  <c r="O27" i="2"/>
  <c r="O26" i="2"/>
  <c r="O25" i="2"/>
  <c r="O24" i="2"/>
  <c r="O23" i="2"/>
  <c r="O22" i="2"/>
  <c r="O21" i="2"/>
  <c r="O54" i="2"/>
  <c r="O53" i="2"/>
  <c r="O52" i="2"/>
  <c r="O58" i="2"/>
  <c r="O57" i="2"/>
  <c r="O56" i="2"/>
  <c r="O92" i="2"/>
  <c r="O91" i="2"/>
  <c r="O90" i="2"/>
  <c r="O89" i="2"/>
  <c r="O88" i="2"/>
  <c r="O87" i="2"/>
  <c r="O86" i="2"/>
  <c r="O85" i="2"/>
  <c r="O84" i="2"/>
  <c r="O83" i="2"/>
  <c r="O82" i="2"/>
  <c r="O81" i="2"/>
  <c r="O80" i="2"/>
  <c r="O79" i="2"/>
  <c r="O78" i="2"/>
  <c r="O77" i="2"/>
  <c r="O76" i="2"/>
  <c r="O75" i="2"/>
  <c r="O74" i="2"/>
  <c r="O73" i="2"/>
  <c r="O72" i="2"/>
  <c r="O71" i="2"/>
  <c r="O70" i="2"/>
  <c r="O69" i="2"/>
  <c r="O68" i="2"/>
  <c r="O67" i="2"/>
  <c r="O66" i="2"/>
  <c r="O65" i="2"/>
  <c r="O64" i="2"/>
  <c r="O63" i="2"/>
  <c r="O62" i="2"/>
  <c r="O61" i="2"/>
  <c r="O60" i="2"/>
  <c r="O105" i="2"/>
  <c r="O104" i="2"/>
  <c r="O103" i="2"/>
  <c r="O102" i="2"/>
  <c r="O101" i="2"/>
  <c r="O100" i="2"/>
  <c r="O99" i="2"/>
  <c r="O98" i="2"/>
  <c r="O97" i="2"/>
  <c r="O112" i="2"/>
  <c r="O111" i="2"/>
  <c r="O110" i="2"/>
  <c r="O116" i="2"/>
  <c r="O115" i="2"/>
  <c r="O114" i="2"/>
  <c r="O147" i="2"/>
  <c r="O146" i="2"/>
  <c r="O145" i="2"/>
  <c r="O144" i="2"/>
  <c r="O143" i="2"/>
  <c r="O142" i="2"/>
  <c r="O141" i="2"/>
  <c r="O140" i="2"/>
  <c r="O139" i="2"/>
  <c r="O138" i="2"/>
  <c r="O137" i="2"/>
  <c r="O136" i="2"/>
  <c r="O135" i="2"/>
  <c r="O134" i="2"/>
  <c r="O133" i="2"/>
  <c r="O132" i="2"/>
  <c r="O131" i="2"/>
  <c r="O130" i="2"/>
  <c r="O129" i="2"/>
  <c r="O128" i="2"/>
  <c r="O127" i="2"/>
  <c r="O126" i="2"/>
  <c r="O125" i="2"/>
  <c r="O124" i="2"/>
  <c r="O123" i="2"/>
  <c r="O122" i="2"/>
  <c r="O121" i="2"/>
  <c r="O120" i="2"/>
  <c r="O119" i="2"/>
  <c r="O118" i="2"/>
  <c r="O154" i="2"/>
  <c r="O153" i="2"/>
  <c r="O152" i="2"/>
  <c r="O164" i="2"/>
  <c r="O163" i="2"/>
  <c r="O162" i="2"/>
  <c r="O161" i="2"/>
  <c r="O160" i="2"/>
  <c r="O159" i="2"/>
  <c r="O158" i="2"/>
  <c r="O157" i="2"/>
  <c r="O156" i="2"/>
  <c r="O173" i="2"/>
  <c r="O172" i="2"/>
  <c r="O171" i="2"/>
  <c r="O170" i="2"/>
  <c r="O169" i="2"/>
  <c r="O168" i="2"/>
  <c r="O167" i="2"/>
  <c r="O166" i="2"/>
  <c r="O165" i="2"/>
  <c r="O180" i="2"/>
  <c r="O179" i="2"/>
  <c r="O178" i="2"/>
  <c r="O209" i="2"/>
  <c r="O208" i="2"/>
  <c r="O207" i="2"/>
  <c r="O206" i="2"/>
  <c r="O205" i="2"/>
  <c r="O204" i="2"/>
  <c r="O203" i="2"/>
  <c r="O202" i="2"/>
  <c r="O201" i="2"/>
  <c r="O200" i="2"/>
  <c r="O199" i="2"/>
  <c r="O198" i="2"/>
  <c r="O197" i="2"/>
  <c r="O196" i="2"/>
  <c r="O195" i="2"/>
  <c r="O194" i="2"/>
  <c r="O193" i="2"/>
  <c r="O192" i="2"/>
  <c r="O191" i="2"/>
  <c r="O190" i="2"/>
  <c r="O189" i="2"/>
  <c r="O188" i="2"/>
  <c r="O187" i="2"/>
  <c r="O186" i="2"/>
  <c r="O185" i="2"/>
  <c r="O184" i="2"/>
  <c r="O183" i="2"/>
  <c r="O182" i="2"/>
  <c r="O217" i="2"/>
  <c r="O216" i="2"/>
  <c r="O215" i="2"/>
  <c r="O236" i="2"/>
  <c r="O235" i="2"/>
  <c r="O234" i="2"/>
  <c r="O233" i="2"/>
  <c r="O232" i="2"/>
  <c r="O231" i="2"/>
  <c r="O230" i="2"/>
  <c r="O229" i="2"/>
  <c r="O228" i="2"/>
  <c r="O227" i="2"/>
  <c r="O226" i="2"/>
  <c r="O225" i="2"/>
  <c r="O224" i="2"/>
  <c r="O223" i="2"/>
  <c r="O222" i="2"/>
  <c r="O221" i="2"/>
  <c r="O220" i="2"/>
  <c r="O219" i="2"/>
  <c r="O243" i="2"/>
  <c r="O242" i="2"/>
  <c r="O241" i="2"/>
  <c r="O247" i="2"/>
  <c r="P247" i="2" s="1"/>
  <c r="Q247" i="2" s="1"/>
  <c r="F44" i="4" s="1"/>
  <c r="L47" i="5" s="1"/>
  <c r="O246" i="2"/>
  <c r="P246" i="2" s="1"/>
  <c r="F43" i="4" s="1"/>
  <c r="L46" i="5" s="1"/>
  <c r="O245" i="2"/>
  <c r="P245" i="2" s="1"/>
  <c r="O251" i="2"/>
  <c r="O250" i="2"/>
  <c r="O249" i="2"/>
  <c r="K94" i="2"/>
  <c r="G94" i="2"/>
  <c r="C94" i="2"/>
  <c r="K255" i="2"/>
  <c r="K254" i="2"/>
  <c r="K252" i="2"/>
  <c r="C255" i="2"/>
  <c r="C254" i="2"/>
  <c r="C252" i="2"/>
  <c r="G254" i="2"/>
  <c r="G255" i="2"/>
  <c r="C272" i="2"/>
  <c r="C271" i="2"/>
  <c r="C270" i="2"/>
  <c r="C285" i="2"/>
  <c r="C284" i="2"/>
  <c r="C283" i="2"/>
  <c r="C286" i="2" s="1"/>
  <c r="K213" i="2"/>
  <c r="K212" i="2"/>
  <c r="K211" i="2"/>
  <c r="K210" i="2"/>
  <c r="C213" i="2"/>
  <c r="C212" i="2"/>
  <c r="C211" i="2"/>
  <c r="C210" i="2"/>
  <c r="G213" i="2"/>
  <c r="G212" i="2"/>
  <c r="G211" i="2"/>
  <c r="G210" i="2"/>
  <c r="K176" i="2"/>
  <c r="K175" i="2"/>
  <c r="K174" i="2"/>
  <c r="C176" i="2"/>
  <c r="C175" i="2"/>
  <c r="C174" i="2"/>
  <c r="G176" i="2"/>
  <c r="G175" i="2"/>
  <c r="G174" i="2"/>
  <c r="K150" i="2"/>
  <c r="K149" i="2"/>
  <c r="K148" i="2"/>
  <c r="C150" i="2"/>
  <c r="C149" i="2"/>
  <c r="C148" i="2"/>
  <c r="G150" i="2"/>
  <c r="G149" i="2"/>
  <c r="G148" i="2"/>
  <c r="K108" i="2"/>
  <c r="K107" i="2"/>
  <c r="K106" i="2"/>
  <c r="C108" i="2"/>
  <c r="C107" i="2"/>
  <c r="C106" i="2"/>
  <c r="G108" i="2"/>
  <c r="G107" i="2"/>
  <c r="G106" i="2"/>
  <c r="K95" i="2"/>
  <c r="K93" i="2"/>
  <c r="C95" i="2"/>
  <c r="C93" i="2"/>
  <c r="G95" i="2"/>
  <c r="G93" i="2"/>
  <c r="K50" i="2"/>
  <c r="K49" i="2"/>
  <c r="K48" i="2"/>
  <c r="C50" i="2"/>
  <c r="C49" i="2"/>
  <c r="C48" i="2"/>
  <c r="O48" i="2" s="1"/>
  <c r="G50" i="2"/>
  <c r="G49" i="2"/>
  <c r="G48" i="2"/>
  <c r="K239" i="2"/>
  <c r="K238" i="2"/>
  <c r="K237" i="2"/>
  <c r="C239" i="2"/>
  <c r="C238" i="2"/>
  <c r="C237" i="2"/>
  <c r="G239" i="2"/>
  <c r="G238" i="2"/>
  <c r="G237" i="2"/>
  <c r="D245" i="2"/>
  <c r="C41" i="4" s="1"/>
  <c r="I44" i="5" s="1"/>
  <c r="H245" i="2"/>
  <c r="D41" i="4" s="1"/>
  <c r="L245" i="2"/>
  <c r="E41" i="4" s="1"/>
  <c r="D246" i="2"/>
  <c r="H246" i="2"/>
  <c r="L246" i="2"/>
  <c r="D247" i="2"/>
  <c r="E247" i="2"/>
  <c r="H247" i="2"/>
  <c r="I247" i="2" s="1"/>
  <c r="L247" i="2"/>
  <c r="M247" i="2" s="1"/>
  <c r="A3" i="3"/>
  <c r="A4" i="3"/>
  <c r="A9" i="3"/>
  <c r="A11" i="3"/>
  <c r="A13" i="3"/>
  <c r="A15" i="3"/>
  <c r="A17" i="3"/>
  <c r="A19" i="3"/>
  <c r="A21" i="3"/>
  <c r="A23" i="3"/>
  <c r="A25" i="3"/>
  <c r="A27" i="3"/>
  <c r="A29" i="3"/>
  <c r="A31" i="3"/>
  <c r="A33" i="3"/>
  <c r="A35" i="3"/>
  <c r="A37" i="3"/>
  <c r="A39" i="3"/>
  <c r="A41" i="3"/>
  <c r="A43" i="3"/>
  <c r="A45" i="3"/>
  <c r="A47" i="3"/>
  <c r="A49" i="3"/>
  <c r="A51" i="3"/>
  <c r="A53" i="3"/>
  <c r="A55" i="3"/>
  <c r="A3" i="4"/>
  <c r="A4" i="4"/>
  <c r="A7" i="4"/>
  <c r="A9" i="4"/>
  <c r="A11" i="4"/>
  <c r="A13" i="4"/>
  <c r="A15" i="4"/>
  <c r="A17" i="4"/>
  <c r="A19" i="4"/>
  <c r="A21" i="4"/>
  <c r="A23" i="4"/>
  <c r="A25" i="4"/>
  <c r="A27" i="4"/>
  <c r="A29" i="4"/>
  <c r="A31" i="4"/>
  <c r="A33" i="4"/>
  <c r="A35" i="4"/>
  <c r="A37" i="4"/>
  <c r="A39" i="4"/>
  <c r="A41" i="4"/>
  <c r="A43" i="4"/>
  <c r="A45" i="4"/>
  <c r="A47" i="4"/>
  <c r="A49" i="4"/>
  <c r="A51" i="4"/>
  <c r="A53" i="4"/>
  <c r="H1" i="1"/>
  <c r="B5" i="5"/>
  <c r="A5" i="5"/>
  <c r="Q1" i="2" a="1"/>
  <c r="Q1" i="1" a="1"/>
  <c r="A6" i="3" l="1"/>
  <c r="A8" i="3"/>
  <c r="A6" i="4"/>
  <c r="G289" i="2"/>
  <c r="O49" i="2"/>
  <c r="K289" i="2"/>
  <c r="G288" i="2"/>
  <c r="O266" i="1"/>
  <c r="O300" i="1" s="1"/>
  <c r="C14" i="3"/>
  <c r="D15" i="5" s="1"/>
  <c r="E14" i="3"/>
  <c r="F15" i="5" s="1"/>
  <c r="O250" i="1"/>
  <c r="O251" i="1"/>
  <c r="O93" i="2"/>
  <c r="O220" i="1"/>
  <c r="C288" i="2"/>
  <c r="O238" i="2"/>
  <c r="O239" i="2"/>
  <c r="O108" i="2"/>
  <c r="O94" i="2"/>
  <c r="O237" i="2"/>
  <c r="O106" i="2"/>
  <c r="O253" i="2"/>
  <c r="O287" i="2" s="1"/>
  <c r="O107" i="2"/>
  <c r="O211" i="2"/>
  <c r="O271" i="2"/>
  <c r="O95" i="2"/>
  <c r="O272" i="2"/>
  <c r="O174" i="2"/>
  <c r="O175" i="2"/>
  <c r="O150" i="2"/>
  <c r="O53" i="1"/>
  <c r="P53" i="1" s="1"/>
  <c r="Q53" i="1" s="1"/>
  <c r="O100" i="1"/>
  <c r="O223" i="1"/>
  <c r="O185" i="1"/>
  <c r="O222" i="1"/>
  <c r="O102" i="1"/>
  <c r="O159" i="1"/>
  <c r="O252" i="1"/>
  <c r="O186" i="1"/>
  <c r="O160" i="1"/>
  <c r="O283" i="2"/>
  <c r="O270" i="2"/>
  <c r="O176" i="2"/>
  <c r="O148" i="2"/>
  <c r="O149" i="2"/>
  <c r="O50" i="2"/>
  <c r="O221" i="1"/>
  <c r="O101" i="1"/>
  <c r="O54" i="1"/>
  <c r="P54" i="1" s="1"/>
  <c r="Q54" i="1" s="1"/>
  <c r="E278" i="2"/>
  <c r="E277" i="2"/>
  <c r="C289" i="2"/>
  <c r="M246" i="2"/>
  <c r="I246" i="2"/>
  <c r="E246" i="2"/>
  <c r="O210" i="2"/>
  <c r="O212" i="2"/>
  <c r="Q246" i="2"/>
  <c r="R245" i="2" s="1"/>
  <c r="O213" i="2"/>
  <c r="A8" i="4"/>
  <c r="A56" i="3"/>
  <c r="A32" i="4"/>
  <c r="C299" i="1"/>
  <c r="G268" i="1"/>
  <c r="G302" i="1" s="1"/>
  <c r="O267" i="1"/>
  <c r="K267" i="1"/>
  <c r="K301" i="1" s="1"/>
  <c r="N52" i="1"/>
  <c r="O268" i="1"/>
  <c r="K268" i="1"/>
  <c r="K302" i="1" s="1"/>
  <c r="F52" i="1"/>
  <c r="A50" i="3"/>
  <c r="A38" i="3"/>
  <c r="A14" i="3"/>
  <c r="A26" i="3"/>
  <c r="A54" i="3"/>
  <c r="A42" i="3"/>
  <c r="A30" i="3"/>
  <c r="A18" i="3"/>
  <c r="A40" i="4"/>
  <c r="A52" i="3"/>
  <c r="A40" i="3"/>
  <c r="A28" i="3"/>
  <c r="A16" i="3"/>
  <c r="A48" i="3"/>
  <c r="A36" i="3"/>
  <c r="A24" i="3"/>
  <c r="A12" i="3"/>
  <c r="A46" i="3"/>
  <c r="A34" i="3"/>
  <c r="A22" i="3"/>
  <c r="A10" i="3"/>
  <c r="A32" i="3"/>
  <c r="A20" i="3"/>
  <c r="A44" i="3"/>
  <c r="A16" i="4"/>
  <c r="A10" i="4"/>
  <c r="A52" i="4"/>
  <c r="A30" i="4"/>
  <c r="A28" i="4"/>
  <c r="A38" i="4"/>
  <c r="A26" i="4"/>
  <c r="A14" i="4"/>
  <c r="A50" i="4"/>
  <c r="A36" i="4"/>
  <c r="A24" i="4"/>
  <c r="A12" i="4"/>
  <c r="A48" i="4"/>
  <c r="A46" i="4"/>
  <c r="A22" i="4"/>
  <c r="A34" i="4"/>
  <c r="A20" i="4"/>
  <c r="A44" i="4"/>
  <c r="A54" i="4"/>
  <c r="A42" i="4"/>
  <c r="A18" i="4"/>
  <c r="Q1" i="2"/>
  <c r="Q1" i="1"/>
  <c r="P236" i="2"/>
  <c r="Q236" i="2" s="1"/>
  <c r="L236" i="2"/>
  <c r="M236" i="2" s="1"/>
  <c r="H236" i="2"/>
  <c r="I236" i="2" s="1"/>
  <c r="D236" i="2"/>
  <c r="E236" i="2" s="1"/>
  <c r="P235" i="2"/>
  <c r="Q235" i="2" s="1"/>
  <c r="L235" i="2"/>
  <c r="M235" i="2" s="1"/>
  <c r="H235" i="2"/>
  <c r="I235" i="2" s="1"/>
  <c r="D235" i="2"/>
  <c r="E235" i="2" s="1"/>
  <c r="P234" i="2"/>
  <c r="F37" i="4" s="1"/>
  <c r="L40" i="5" s="1"/>
  <c r="L234" i="2"/>
  <c r="H234" i="2"/>
  <c r="D234" i="2"/>
  <c r="L1" i="1" a="1"/>
  <c r="L1" i="1" s="1"/>
  <c r="H1" i="2"/>
  <c r="L1" i="2" a="1"/>
  <c r="L1" i="2" s="1"/>
  <c r="N245" i="2" l="1"/>
  <c r="E42" i="4"/>
  <c r="K45" i="5" s="1"/>
  <c r="F38" i="4"/>
  <c r="L41" i="5" s="1"/>
  <c r="J245" i="2"/>
  <c r="D42" i="4"/>
  <c r="J45" i="5" s="1"/>
  <c r="F276" i="2"/>
  <c r="C52" i="4"/>
  <c r="I55" i="5" s="1"/>
  <c r="F245" i="2"/>
  <c r="C42" i="4"/>
  <c r="I45" i="5" s="1"/>
  <c r="F14" i="3"/>
  <c r="G15" i="5" s="1"/>
  <c r="N234" i="2"/>
  <c r="R234" i="2"/>
  <c r="F234" i="2"/>
  <c r="J234" i="2"/>
  <c r="K166" i="1"/>
  <c r="G293" i="1"/>
  <c r="G296" i="1" s="1"/>
  <c r="G13" i="2"/>
  <c r="G25" i="1"/>
  <c r="G166" i="1"/>
  <c r="G149" i="1"/>
  <c r="G158" i="1" s="1"/>
  <c r="H203" i="2"/>
  <c r="H204" i="2"/>
  <c r="G252" i="2" l="1"/>
  <c r="G286" i="2" s="1"/>
  <c r="O13" i="2"/>
  <c r="K184" i="1"/>
  <c r="K265" i="1"/>
  <c r="K299" i="1" s="1"/>
  <c r="G299" i="1"/>
  <c r="G184" i="1"/>
  <c r="O166" i="1"/>
  <c r="G52" i="1"/>
  <c r="O25" i="1"/>
  <c r="O265" i="1" s="1"/>
  <c r="G265" i="1"/>
  <c r="O158" i="1"/>
  <c r="O149" i="1"/>
  <c r="L49" i="2"/>
  <c r="M49" i="2" s="1"/>
  <c r="E12" i="4" s="1"/>
  <c r="L50" i="2"/>
  <c r="M50" i="2" s="1"/>
  <c r="L48" i="2"/>
  <c r="O184" i="1" l="1"/>
  <c r="E11" i="4"/>
  <c r="K14" i="5" s="1"/>
  <c r="P14" i="5" s="1"/>
  <c r="H52" i="1"/>
  <c r="O52" i="1"/>
  <c r="P52" i="1" s="1"/>
  <c r="N48" i="2"/>
  <c r="L196" i="1"/>
  <c r="D241" i="2"/>
  <c r="C39" i="4" s="1"/>
  <c r="I42" i="5" s="1"/>
  <c r="H241" i="2"/>
  <c r="D39" i="4" s="1"/>
  <c r="L241" i="2"/>
  <c r="E39" i="4" s="1"/>
  <c r="P241" i="2"/>
  <c r="D242" i="2"/>
  <c r="H242" i="2"/>
  <c r="L242" i="2"/>
  <c r="P242" i="2"/>
  <c r="F41" i="4" s="1"/>
  <c r="L44" i="5" s="1"/>
  <c r="D243" i="2"/>
  <c r="E243" i="2" s="1"/>
  <c r="H243" i="2"/>
  <c r="I243" i="2" s="1"/>
  <c r="L243" i="2"/>
  <c r="M243" i="2" s="1"/>
  <c r="P243" i="2"/>
  <c r="Q243" i="2" s="1"/>
  <c r="F42" i="4" s="1"/>
  <c r="L45" i="5" s="1"/>
  <c r="L247" i="1"/>
  <c r="O295" i="1"/>
  <c r="P295" i="1" s="1"/>
  <c r="O294" i="1"/>
  <c r="O293" i="1"/>
  <c r="O291" i="1"/>
  <c r="O290" i="1"/>
  <c r="O289" i="1"/>
  <c r="O282" i="1"/>
  <c r="O281" i="1"/>
  <c r="O280" i="1"/>
  <c r="O278" i="1"/>
  <c r="O277" i="1"/>
  <c r="O274" i="1"/>
  <c r="O273" i="1"/>
  <c r="O272" i="1"/>
  <c r="D295" i="1"/>
  <c r="E295" i="1" s="1"/>
  <c r="D243" i="1"/>
  <c r="E243" i="1" s="1"/>
  <c r="D230" i="1"/>
  <c r="E230" i="1" s="1"/>
  <c r="D195" i="1"/>
  <c r="E195" i="1" s="1"/>
  <c r="D194" i="1"/>
  <c r="E194" i="1" s="1"/>
  <c r="D193" i="1"/>
  <c r="E193" i="1" s="1"/>
  <c r="D192" i="1"/>
  <c r="D215" i="1"/>
  <c r="E215" i="1" s="1"/>
  <c r="D214" i="1"/>
  <c r="E214" i="1" s="1"/>
  <c r="D213" i="1"/>
  <c r="E213" i="1" s="1"/>
  <c r="D212" i="1"/>
  <c r="D203" i="1"/>
  <c r="E203" i="1" s="1"/>
  <c r="D202" i="1"/>
  <c r="E202" i="1" s="1"/>
  <c r="D204" i="1"/>
  <c r="D190" i="1"/>
  <c r="E190" i="1" s="1"/>
  <c r="D180" i="1"/>
  <c r="E180" i="1" s="1"/>
  <c r="D170" i="1"/>
  <c r="E170" i="1" s="1"/>
  <c r="D147" i="1"/>
  <c r="E147" i="1" s="1"/>
  <c r="D137" i="1"/>
  <c r="D127" i="1"/>
  <c r="E127" i="1" s="1"/>
  <c r="D117" i="1"/>
  <c r="C23" i="3" s="1"/>
  <c r="D24" i="5" s="1"/>
  <c r="D112" i="1"/>
  <c r="E112" i="1" s="1"/>
  <c r="D111" i="1"/>
  <c r="E111" i="1" s="1"/>
  <c r="D110" i="1"/>
  <c r="D109" i="1"/>
  <c r="E109" i="1" s="1"/>
  <c r="D108" i="1"/>
  <c r="E108" i="1" s="1"/>
  <c r="D97" i="1"/>
  <c r="D84" i="1"/>
  <c r="E84" i="1" s="1"/>
  <c r="D74" i="1"/>
  <c r="E74" i="1" s="1"/>
  <c r="D64" i="1"/>
  <c r="D44" i="1"/>
  <c r="E44" i="1" s="1"/>
  <c r="D34" i="1"/>
  <c r="H295" i="1"/>
  <c r="H243" i="1"/>
  <c r="I243" i="1" s="1"/>
  <c r="H230" i="1"/>
  <c r="I230" i="1" s="1"/>
  <c r="H195" i="1"/>
  <c r="I195" i="1" s="1"/>
  <c r="H194" i="1"/>
  <c r="I194" i="1" s="1"/>
  <c r="H193" i="1"/>
  <c r="I193" i="1" s="1"/>
  <c r="H192" i="1"/>
  <c r="H215" i="1"/>
  <c r="I215" i="1" s="1"/>
  <c r="H214" i="1"/>
  <c r="I214" i="1" s="1"/>
  <c r="H213" i="1"/>
  <c r="I213" i="1" s="1"/>
  <c r="H212" i="1"/>
  <c r="H203" i="1"/>
  <c r="I203" i="1" s="1"/>
  <c r="H202" i="1"/>
  <c r="I202" i="1" s="1"/>
  <c r="H204" i="1"/>
  <c r="H190" i="1"/>
  <c r="I190" i="1" s="1"/>
  <c r="H180" i="1"/>
  <c r="I180" i="1" s="1"/>
  <c r="H170" i="1"/>
  <c r="I170" i="1" s="1"/>
  <c r="H147" i="1"/>
  <c r="I147" i="1" s="1"/>
  <c r="H137" i="1"/>
  <c r="H127" i="1"/>
  <c r="I127" i="1" s="1"/>
  <c r="H117" i="1"/>
  <c r="D23" i="3" s="1"/>
  <c r="E24" i="5" s="1"/>
  <c r="H112" i="1"/>
  <c r="I112" i="1" s="1"/>
  <c r="H111" i="1"/>
  <c r="I111" i="1" s="1"/>
  <c r="H110" i="1"/>
  <c r="H109" i="1"/>
  <c r="I109" i="1" s="1"/>
  <c r="H108" i="1"/>
  <c r="I108" i="1" s="1"/>
  <c r="H107" i="1"/>
  <c r="H97" i="1"/>
  <c r="H84" i="1"/>
  <c r="I84" i="1" s="1"/>
  <c r="H74" i="1"/>
  <c r="I74" i="1" s="1"/>
  <c r="H64" i="1"/>
  <c r="H44" i="1"/>
  <c r="I44" i="1" s="1"/>
  <c r="H34" i="1"/>
  <c r="L295" i="1"/>
  <c r="L243" i="1"/>
  <c r="M243" i="1" s="1"/>
  <c r="L230" i="1"/>
  <c r="M230" i="1" s="1"/>
  <c r="L195" i="1"/>
  <c r="M195" i="1" s="1"/>
  <c r="L194" i="1"/>
  <c r="M194" i="1" s="1"/>
  <c r="L193" i="1"/>
  <c r="M193" i="1" s="1"/>
  <c r="L192" i="1"/>
  <c r="L215" i="1"/>
  <c r="M215" i="1" s="1"/>
  <c r="L214" i="1"/>
  <c r="M214" i="1" s="1"/>
  <c r="L213" i="1"/>
  <c r="M213" i="1" s="1"/>
  <c r="L212" i="1"/>
  <c r="L203" i="1"/>
  <c r="M203" i="1" s="1"/>
  <c r="L202" i="1"/>
  <c r="M202" i="1" s="1"/>
  <c r="L204" i="1"/>
  <c r="L190" i="1"/>
  <c r="M190" i="1" s="1"/>
  <c r="L180" i="1"/>
  <c r="M180" i="1" s="1"/>
  <c r="L170" i="1"/>
  <c r="M170" i="1" s="1"/>
  <c r="L147" i="1"/>
  <c r="M147" i="1" s="1"/>
  <c r="L137" i="1"/>
  <c r="L127" i="1"/>
  <c r="M127" i="1" s="1"/>
  <c r="L117" i="1"/>
  <c r="E23" i="3" s="1"/>
  <c r="F24" i="5" s="1"/>
  <c r="L112" i="1"/>
  <c r="M112" i="1" s="1"/>
  <c r="L111" i="1"/>
  <c r="M111" i="1" s="1"/>
  <c r="L110" i="1"/>
  <c r="L109" i="1"/>
  <c r="M109" i="1" s="1"/>
  <c r="L108" i="1"/>
  <c r="M108" i="1" s="1"/>
  <c r="L107" i="1"/>
  <c r="L97" i="1"/>
  <c r="L84" i="1"/>
  <c r="M84" i="1" s="1"/>
  <c r="L74" i="1"/>
  <c r="M74" i="1" s="1"/>
  <c r="L64" i="1"/>
  <c r="L44" i="1"/>
  <c r="M44" i="1" s="1"/>
  <c r="L34" i="1"/>
  <c r="P34" i="1"/>
  <c r="P44" i="1"/>
  <c r="Q44" i="1" s="1"/>
  <c r="P64" i="1"/>
  <c r="P74" i="1"/>
  <c r="Q74" i="1" s="1"/>
  <c r="P84" i="1"/>
  <c r="Q84" i="1" s="1"/>
  <c r="P97" i="1"/>
  <c r="P108" i="1"/>
  <c r="Q108" i="1" s="1"/>
  <c r="P109" i="1"/>
  <c r="Q109" i="1" s="1"/>
  <c r="P110" i="1"/>
  <c r="P111" i="1"/>
  <c r="Q111" i="1" s="1"/>
  <c r="P112" i="1"/>
  <c r="Q112" i="1" s="1"/>
  <c r="P127" i="1"/>
  <c r="Q127" i="1" s="1"/>
  <c r="P137" i="1"/>
  <c r="P147" i="1"/>
  <c r="Q147" i="1" s="1"/>
  <c r="P170" i="1"/>
  <c r="Q170" i="1" s="1"/>
  <c r="P180" i="1"/>
  <c r="Q180" i="1" s="1"/>
  <c r="P190" i="1"/>
  <c r="Q190" i="1" s="1"/>
  <c r="P204" i="1"/>
  <c r="P202" i="1"/>
  <c r="Q202" i="1" s="1"/>
  <c r="P203" i="1"/>
  <c r="Q203" i="1" s="1"/>
  <c r="P212" i="1"/>
  <c r="P213" i="1"/>
  <c r="Q213" i="1" s="1"/>
  <c r="P214" i="1"/>
  <c r="Q214" i="1" s="1"/>
  <c r="P215" i="1"/>
  <c r="Q215" i="1" s="1"/>
  <c r="P192" i="1"/>
  <c r="P193" i="1"/>
  <c r="Q193" i="1" s="1"/>
  <c r="P194" i="1"/>
  <c r="Q194" i="1" s="1"/>
  <c r="P195" i="1"/>
  <c r="Q195" i="1" s="1"/>
  <c r="P230" i="1"/>
  <c r="Q230" i="1" s="1"/>
  <c r="P243" i="1"/>
  <c r="Q243" i="1" s="1"/>
  <c r="D107" i="1"/>
  <c r="L282" i="2"/>
  <c r="M282" i="2" s="1"/>
  <c r="L281" i="2"/>
  <c r="M281" i="2" s="1"/>
  <c r="E54" i="4" s="1"/>
  <c r="L280" i="2"/>
  <c r="E53" i="4" s="1"/>
  <c r="L278" i="2"/>
  <c r="L285" i="2" s="1"/>
  <c r="L277" i="2"/>
  <c r="L276" i="2"/>
  <c r="E51" i="4" s="1"/>
  <c r="K54" i="5" s="1"/>
  <c r="L269" i="2"/>
  <c r="L268" i="2"/>
  <c r="M268" i="2" s="1"/>
  <c r="L267" i="2"/>
  <c r="E49" i="4" s="1"/>
  <c r="L265" i="2"/>
  <c r="L264" i="2"/>
  <c r="L263" i="2"/>
  <c r="E47" i="4" s="1"/>
  <c r="L261" i="2"/>
  <c r="L260" i="2"/>
  <c r="L259" i="2"/>
  <c r="L251" i="2"/>
  <c r="M251" i="2" s="1"/>
  <c r="L250" i="2"/>
  <c r="M250" i="2" s="1"/>
  <c r="L249" i="2"/>
  <c r="E43" i="4" s="1"/>
  <c r="K46" i="5" s="1"/>
  <c r="L239" i="2"/>
  <c r="M239" i="2" s="1"/>
  <c r="L238" i="2"/>
  <c r="L237" i="2"/>
  <c r="E37" i="4" s="1"/>
  <c r="K40" i="5" s="1"/>
  <c r="L233" i="2"/>
  <c r="M233" i="2" s="1"/>
  <c r="L232" i="2"/>
  <c r="M232" i="2" s="1"/>
  <c r="L231" i="2"/>
  <c r="L230" i="2"/>
  <c r="M230" i="2" s="1"/>
  <c r="L229" i="2"/>
  <c r="M229" i="2" s="1"/>
  <c r="L228" i="2"/>
  <c r="L227" i="2"/>
  <c r="M227" i="2" s="1"/>
  <c r="L226" i="2"/>
  <c r="M226" i="2" s="1"/>
  <c r="L225" i="2"/>
  <c r="L224" i="2"/>
  <c r="M224" i="2" s="1"/>
  <c r="L223" i="2"/>
  <c r="M223" i="2" s="1"/>
  <c r="L222" i="2"/>
  <c r="L221" i="2"/>
  <c r="M221" i="2" s="1"/>
  <c r="L220" i="2"/>
  <c r="M220" i="2" s="1"/>
  <c r="L219" i="2"/>
  <c r="L217" i="2"/>
  <c r="M217" i="2" s="1"/>
  <c r="L216" i="2"/>
  <c r="M216" i="2" s="1"/>
  <c r="E36" i="4" s="1"/>
  <c r="K39" i="5" s="1"/>
  <c r="L215" i="2"/>
  <c r="E35" i="4" s="1"/>
  <c r="L213" i="2"/>
  <c r="M213" i="2" s="1"/>
  <c r="L212" i="2"/>
  <c r="M212" i="2" s="1"/>
  <c r="L210" i="2"/>
  <c r="L185" i="2"/>
  <c r="M185" i="2" s="1"/>
  <c r="L184" i="2"/>
  <c r="M184" i="2" s="1"/>
  <c r="L183" i="2"/>
  <c r="L182" i="2"/>
  <c r="L205" i="2"/>
  <c r="M205" i="2" s="1"/>
  <c r="L204" i="2"/>
  <c r="M204" i="2" s="1"/>
  <c r="L203" i="2"/>
  <c r="M203" i="2" s="1"/>
  <c r="L202" i="2"/>
  <c r="L193" i="2"/>
  <c r="M193" i="2" s="1"/>
  <c r="L192" i="2"/>
  <c r="M192" i="2" s="1"/>
  <c r="L191" i="2"/>
  <c r="M191" i="2" s="1"/>
  <c r="L190" i="2"/>
  <c r="L201" i="2"/>
  <c r="M201" i="2" s="1"/>
  <c r="L200" i="2"/>
  <c r="M200" i="2" s="1"/>
  <c r="L199" i="2"/>
  <c r="M199" i="2" s="1"/>
  <c r="L198" i="2"/>
  <c r="L197" i="2"/>
  <c r="M197" i="2" s="1"/>
  <c r="L196" i="2"/>
  <c r="M196" i="2" s="1"/>
  <c r="L195" i="2"/>
  <c r="M195" i="2" s="1"/>
  <c r="L194" i="2"/>
  <c r="L209" i="2"/>
  <c r="M209" i="2" s="1"/>
  <c r="L208" i="2"/>
  <c r="M208" i="2" s="1"/>
  <c r="L207" i="2"/>
  <c r="M207" i="2" s="1"/>
  <c r="L206" i="2"/>
  <c r="L189" i="2"/>
  <c r="M189" i="2" s="1"/>
  <c r="L188" i="2"/>
  <c r="M188" i="2" s="1"/>
  <c r="L187" i="2"/>
  <c r="M187" i="2" s="1"/>
  <c r="L186" i="2"/>
  <c r="L180" i="2"/>
  <c r="M180" i="2" s="1"/>
  <c r="L179" i="2"/>
  <c r="M179" i="2" s="1"/>
  <c r="E32" i="4" s="1"/>
  <c r="L178" i="2"/>
  <c r="L176" i="2"/>
  <c r="M176" i="2" s="1"/>
  <c r="L175" i="2"/>
  <c r="M175" i="2" s="1"/>
  <c r="L174" i="2"/>
  <c r="L173" i="2"/>
  <c r="M173" i="2" s="1"/>
  <c r="L172" i="2"/>
  <c r="M172" i="2" s="1"/>
  <c r="L171" i="2"/>
  <c r="L170" i="2"/>
  <c r="M170" i="2" s="1"/>
  <c r="L169" i="2"/>
  <c r="M169" i="2" s="1"/>
  <c r="L168" i="2"/>
  <c r="L167" i="2"/>
  <c r="M167" i="2" s="1"/>
  <c r="L166" i="2"/>
  <c r="M166" i="2" s="1"/>
  <c r="L165" i="2"/>
  <c r="L164" i="2"/>
  <c r="M164" i="2" s="1"/>
  <c r="L163" i="2"/>
  <c r="M163" i="2" s="1"/>
  <c r="L162" i="2"/>
  <c r="L161" i="2"/>
  <c r="M161" i="2" s="1"/>
  <c r="L160" i="2"/>
  <c r="M160" i="2" s="1"/>
  <c r="L159" i="2"/>
  <c r="L158" i="2"/>
  <c r="M158" i="2" s="1"/>
  <c r="L157" i="2"/>
  <c r="M157" i="2" s="1"/>
  <c r="L156" i="2"/>
  <c r="L154" i="2"/>
  <c r="M154" i="2" s="1"/>
  <c r="L153" i="2"/>
  <c r="M153" i="2" s="1"/>
  <c r="E28" i="4" s="1"/>
  <c r="L152" i="2"/>
  <c r="L150" i="2"/>
  <c r="M150" i="2" s="1"/>
  <c r="L149" i="2"/>
  <c r="M149" i="2" s="1"/>
  <c r="L148" i="2"/>
  <c r="L147" i="2"/>
  <c r="M147" i="2" s="1"/>
  <c r="L146" i="2"/>
  <c r="M146" i="2" s="1"/>
  <c r="L145" i="2"/>
  <c r="L144" i="2"/>
  <c r="M144" i="2" s="1"/>
  <c r="L143" i="2"/>
  <c r="M143" i="2" s="1"/>
  <c r="L142" i="2"/>
  <c r="L141" i="2"/>
  <c r="M141" i="2" s="1"/>
  <c r="L140" i="2"/>
  <c r="M140" i="2" s="1"/>
  <c r="L139" i="2"/>
  <c r="L138" i="2"/>
  <c r="M138" i="2" s="1"/>
  <c r="L137" i="2"/>
  <c r="M137" i="2" s="1"/>
  <c r="L136" i="2"/>
  <c r="L135" i="2"/>
  <c r="M135" i="2" s="1"/>
  <c r="L134" i="2"/>
  <c r="M134" i="2" s="1"/>
  <c r="L133" i="2"/>
  <c r="L132" i="2"/>
  <c r="M132" i="2" s="1"/>
  <c r="L131" i="2"/>
  <c r="M131" i="2" s="1"/>
  <c r="L130" i="2"/>
  <c r="L129" i="2"/>
  <c r="M129" i="2" s="1"/>
  <c r="L128" i="2"/>
  <c r="M128" i="2" s="1"/>
  <c r="L127" i="2"/>
  <c r="L126" i="2"/>
  <c r="M126" i="2" s="1"/>
  <c r="L125" i="2"/>
  <c r="M125" i="2" s="1"/>
  <c r="L124" i="2"/>
  <c r="L123" i="2"/>
  <c r="M123" i="2" s="1"/>
  <c r="L122" i="2"/>
  <c r="M122" i="2" s="1"/>
  <c r="L121" i="2"/>
  <c r="L120" i="2"/>
  <c r="M120" i="2" s="1"/>
  <c r="L119" i="2"/>
  <c r="M119" i="2" s="1"/>
  <c r="L118" i="2"/>
  <c r="L116" i="2"/>
  <c r="M116" i="2" s="1"/>
  <c r="L115" i="2"/>
  <c r="M115" i="2" s="1"/>
  <c r="E24" i="4" s="1"/>
  <c r="L114" i="2"/>
  <c r="L112" i="2"/>
  <c r="M112" i="2" s="1"/>
  <c r="L111" i="2"/>
  <c r="M111" i="2" s="1"/>
  <c r="L110" i="2"/>
  <c r="L108" i="2"/>
  <c r="M108" i="2" s="1"/>
  <c r="L107" i="2"/>
  <c r="M107" i="2" s="1"/>
  <c r="E20" i="4" s="1"/>
  <c r="L106" i="2"/>
  <c r="L105" i="2"/>
  <c r="M105" i="2" s="1"/>
  <c r="L104" i="2"/>
  <c r="M104" i="2" s="1"/>
  <c r="L103" i="2"/>
  <c r="L102" i="2"/>
  <c r="M102" i="2" s="1"/>
  <c r="L101" i="2"/>
  <c r="M101" i="2" s="1"/>
  <c r="L100" i="2"/>
  <c r="L99" i="2"/>
  <c r="M99" i="2" s="1"/>
  <c r="L98" i="2"/>
  <c r="M98" i="2" s="1"/>
  <c r="L97" i="2"/>
  <c r="L92" i="2"/>
  <c r="M92" i="2" s="1"/>
  <c r="L91" i="2"/>
  <c r="M91" i="2" s="1"/>
  <c r="L90" i="2"/>
  <c r="L89" i="2"/>
  <c r="M89" i="2" s="1"/>
  <c r="L88" i="2"/>
  <c r="M88" i="2" s="1"/>
  <c r="L87" i="2"/>
  <c r="L86" i="2"/>
  <c r="M86" i="2" s="1"/>
  <c r="L85" i="2"/>
  <c r="M85" i="2" s="1"/>
  <c r="L84" i="2"/>
  <c r="L83" i="2"/>
  <c r="M83" i="2" s="1"/>
  <c r="L82" i="2"/>
  <c r="M82" i="2" s="1"/>
  <c r="L81" i="2"/>
  <c r="L80" i="2"/>
  <c r="M80" i="2" s="1"/>
  <c r="L79" i="2"/>
  <c r="M79" i="2" s="1"/>
  <c r="L78" i="2"/>
  <c r="L77" i="2"/>
  <c r="M77" i="2" s="1"/>
  <c r="L76" i="2"/>
  <c r="M76" i="2" s="1"/>
  <c r="L75" i="2"/>
  <c r="L74" i="2"/>
  <c r="M74" i="2" s="1"/>
  <c r="L73" i="2"/>
  <c r="M73" i="2" s="1"/>
  <c r="L72" i="2"/>
  <c r="L71" i="2"/>
  <c r="M71" i="2" s="1"/>
  <c r="L70" i="2"/>
  <c r="M70" i="2" s="1"/>
  <c r="L69" i="2"/>
  <c r="L68" i="2"/>
  <c r="M68" i="2" s="1"/>
  <c r="L67" i="2"/>
  <c r="M67" i="2" s="1"/>
  <c r="L66" i="2"/>
  <c r="L65" i="2"/>
  <c r="M65" i="2" s="1"/>
  <c r="L64" i="2"/>
  <c r="M64" i="2" s="1"/>
  <c r="L63" i="2"/>
  <c r="L62" i="2"/>
  <c r="M62" i="2" s="1"/>
  <c r="L61" i="2"/>
  <c r="M61" i="2" s="1"/>
  <c r="L60" i="2"/>
  <c r="L58" i="2"/>
  <c r="M58" i="2" s="1"/>
  <c r="L57" i="2"/>
  <c r="M57" i="2" s="1"/>
  <c r="L56" i="2"/>
  <c r="L54" i="2"/>
  <c r="M54" i="2" s="1"/>
  <c r="L53" i="2"/>
  <c r="M53" i="2" s="1"/>
  <c r="E14" i="4" s="1"/>
  <c r="L52" i="2"/>
  <c r="L47" i="2"/>
  <c r="M47" i="2" s="1"/>
  <c r="L46" i="2"/>
  <c r="M46" i="2" s="1"/>
  <c r="L45" i="2"/>
  <c r="L44" i="2"/>
  <c r="M44" i="2" s="1"/>
  <c r="L43" i="2"/>
  <c r="M43" i="2" s="1"/>
  <c r="L42" i="2"/>
  <c r="L41" i="2"/>
  <c r="M41" i="2" s="1"/>
  <c r="L40" i="2"/>
  <c r="M40" i="2" s="1"/>
  <c r="L39" i="2"/>
  <c r="L38" i="2"/>
  <c r="M38" i="2" s="1"/>
  <c r="L37" i="2"/>
  <c r="M37" i="2" s="1"/>
  <c r="L36" i="2"/>
  <c r="L35" i="2"/>
  <c r="M35" i="2" s="1"/>
  <c r="L34" i="2"/>
  <c r="M34" i="2" s="1"/>
  <c r="L33" i="2"/>
  <c r="L32" i="2"/>
  <c r="M32" i="2" s="1"/>
  <c r="L31" i="2"/>
  <c r="M31" i="2" s="1"/>
  <c r="L30" i="2"/>
  <c r="L29" i="2"/>
  <c r="M29" i="2" s="1"/>
  <c r="L28" i="2"/>
  <c r="M28" i="2" s="1"/>
  <c r="L27" i="2"/>
  <c r="L26" i="2"/>
  <c r="M26" i="2" s="1"/>
  <c r="L25" i="2"/>
  <c r="M25" i="2" s="1"/>
  <c r="L24" i="2"/>
  <c r="L23" i="2"/>
  <c r="M23" i="2" s="1"/>
  <c r="L22" i="2"/>
  <c r="M22" i="2" s="1"/>
  <c r="L21" i="2"/>
  <c r="L19" i="2"/>
  <c r="M19" i="2" s="1"/>
  <c r="L18" i="2"/>
  <c r="M18" i="2" s="1"/>
  <c r="E10" i="4" s="1"/>
  <c r="L17" i="2"/>
  <c r="L7" i="2"/>
  <c r="L6" i="2"/>
  <c r="L5" i="2"/>
  <c r="L15" i="2"/>
  <c r="M15" i="2" s="1"/>
  <c r="L14" i="2"/>
  <c r="M14" i="2" s="1"/>
  <c r="E8" i="4" s="1"/>
  <c r="L13" i="2"/>
  <c r="L294" i="1"/>
  <c r="M294" i="1" s="1"/>
  <c r="L293" i="1"/>
  <c r="E55" i="3" s="1"/>
  <c r="F56" i="5" s="1"/>
  <c r="L291" i="1"/>
  <c r="L298" i="1" s="1"/>
  <c r="L290" i="1"/>
  <c r="L289" i="1"/>
  <c r="L282" i="1"/>
  <c r="M282" i="1" s="1"/>
  <c r="L281" i="1"/>
  <c r="M281" i="1" s="1"/>
  <c r="L280" i="1"/>
  <c r="E51" i="3" s="1"/>
  <c r="F52" i="5" s="1"/>
  <c r="L278" i="1"/>
  <c r="M278" i="1" s="1"/>
  <c r="L277" i="1"/>
  <c r="M277" i="1" s="1"/>
  <c r="L274" i="1"/>
  <c r="L273" i="1"/>
  <c r="L272" i="1"/>
  <c r="L264" i="1"/>
  <c r="M264" i="1" s="1"/>
  <c r="L263" i="1"/>
  <c r="M263" i="1" s="1"/>
  <c r="E46" i="3" s="1"/>
  <c r="F47" i="5" s="1"/>
  <c r="L262" i="1"/>
  <c r="E45" i="3" s="1"/>
  <c r="F46" i="5" s="1"/>
  <c r="L260" i="1"/>
  <c r="M260" i="1" s="1"/>
  <c r="L259" i="1"/>
  <c r="M259" i="1" s="1"/>
  <c r="L258" i="1"/>
  <c r="E43" i="3" s="1"/>
  <c r="F44" i="5" s="1"/>
  <c r="L256" i="1"/>
  <c r="M256" i="1" s="1"/>
  <c r="L255" i="1"/>
  <c r="M255" i="1" s="1"/>
  <c r="L254" i="1"/>
  <c r="E41" i="3" s="1"/>
  <c r="F42" i="5" s="1"/>
  <c r="L249" i="1"/>
  <c r="M249" i="1" s="1"/>
  <c r="L248" i="1"/>
  <c r="M248" i="1" s="1"/>
  <c r="L246" i="1"/>
  <c r="M246" i="1" s="1"/>
  <c r="L245" i="1"/>
  <c r="M245" i="1" s="1"/>
  <c r="L244" i="1"/>
  <c r="L242" i="1"/>
  <c r="M242" i="1" s="1"/>
  <c r="L241" i="1"/>
  <c r="L237" i="1"/>
  <c r="M237" i="1" s="1"/>
  <c r="L236" i="1"/>
  <c r="M236" i="1" s="1"/>
  <c r="L235" i="1"/>
  <c r="L234" i="1"/>
  <c r="M234" i="1" s="1"/>
  <c r="L233" i="1"/>
  <c r="M233" i="1" s="1"/>
  <c r="L232" i="1"/>
  <c r="L231" i="1"/>
  <c r="M231" i="1" s="1"/>
  <c r="L229" i="1"/>
  <c r="L227" i="1"/>
  <c r="M227" i="1" s="1"/>
  <c r="L226" i="1"/>
  <c r="M226" i="1" s="1"/>
  <c r="E38" i="3" s="1"/>
  <c r="F39" i="5" s="1"/>
  <c r="L225" i="1"/>
  <c r="E37" i="3" s="1"/>
  <c r="F38" i="5" s="1"/>
  <c r="L223" i="1"/>
  <c r="M223" i="1" s="1"/>
  <c r="L222" i="1"/>
  <c r="M222" i="1" s="1"/>
  <c r="L201" i="1"/>
  <c r="M201" i="1" s="1"/>
  <c r="L200" i="1"/>
  <c r="L211" i="1"/>
  <c r="M211" i="1" s="1"/>
  <c r="L210" i="1"/>
  <c r="M210" i="1" s="1"/>
  <c r="L209" i="1"/>
  <c r="M209" i="1" s="1"/>
  <c r="L208" i="1"/>
  <c r="L207" i="1"/>
  <c r="M207" i="1" s="1"/>
  <c r="L206" i="1"/>
  <c r="M206" i="1" s="1"/>
  <c r="L205" i="1"/>
  <c r="M205" i="1" s="1"/>
  <c r="L219" i="1"/>
  <c r="M219" i="1" s="1"/>
  <c r="L218" i="1"/>
  <c r="M218" i="1" s="1"/>
  <c r="L217" i="1"/>
  <c r="M217" i="1" s="1"/>
  <c r="L216" i="1"/>
  <c r="L199" i="1"/>
  <c r="M199" i="1" s="1"/>
  <c r="L198" i="1"/>
  <c r="M198" i="1" s="1"/>
  <c r="L197" i="1"/>
  <c r="M197" i="1" s="1"/>
  <c r="L189" i="1"/>
  <c r="M189" i="1" s="1"/>
  <c r="E34" i="3" s="1"/>
  <c r="F35" i="5" s="1"/>
  <c r="L188" i="1"/>
  <c r="E33" i="3" s="1"/>
  <c r="F34" i="5" s="1"/>
  <c r="L186" i="1"/>
  <c r="M186" i="1" s="1"/>
  <c r="L185" i="1"/>
  <c r="M185" i="1" s="1"/>
  <c r="E32" i="3" s="1"/>
  <c r="F33" i="5" s="1"/>
  <c r="L183" i="1"/>
  <c r="M183" i="1" s="1"/>
  <c r="L182" i="1"/>
  <c r="M182" i="1" s="1"/>
  <c r="L181" i="1"/>
  <c r="L179" i="1"/>
  <c r="M179" i="1" s="1"/>
  <c r="L178" i="1"/>
  <c r="L177" i="1"/>
  <c r="M177" i="1" s="1"/>
  <c r="L176" i="1"/>
  <c r="M176" i="1" s="1"/>
  <c r="L175" i="1"/>
  <c r="L174" i="1"/>
  <c r="M174" i="1" s="1"/>
  <c r="L173" i="1"/>
  <c r="M173" i="1" s="1"/>
  <c r="L172" i="1"/>
  <c r="L171" i="1"/>
  <c r="M171" i="1" s="1"/>
  <c r="L169" i="1"/>
  <c r="L168" i="1"/>
  <c r="M168" i="1" s="1"/>
  <c r="L167" i="1"/>
  <c r="M167" i="1" s="1"/>
  <c r="L164" i="1"/>
  <c r="M164" i="1" s="1"/>
  <c r="L163" i="1"/>
  <c r="M163" i="1" s="1"/>
  <c r="L162" i="1"/>
  <c r="E29" i="3" s="1"/>
  <c r="F30" i="5" s="1"/>
  <c r="L160" i="1"/>
  <c r="M160" i="1" s="1"/>
  <c r="L159" i="1"/>
  <c r="M159" i="1" s="1"/>
  <c r="L154" i="1"/>
  <c r="M154" i="1" s="1"/>
  <c r="L153" i="1"/>
  <c r="M153" i="1" s="1"/>
  <c r="L152" i="1"/>
  <c r="L151" i="1"/>
  <c r="M151" i="1" s="1"/>
  <c r="L150" i="1"/>
  <c r="M150" i="1" s="1"/>
  <c r="L158" i="1"/>
  <c r="E27" i="3" s="1"/>
  <c r="F28" i="5" s="1"/>
  <c r="L148" i="1"/>
  <c r="M148" i="1" s="1"/>
  <c r="L146" i="1"/>
  <c r="L145" i="1"/>
  <c r="M145" i="1" s="1"/>
  <c r="L144" i="1"/>
  <c r="M144" i="1" s="1"/>
  <c r="L143" i="1"/>
  <c r="L142" i="1"/>
  <c r="M142" i="1" s="1"/>
  <c r="L141" i="1"/>
  <c r="M141" i="1" s="1"/>
  <c r="L140" i="1"/>
  <c r="L139" i="1"/>
  <c r="M139" i="1" s="1"/>
  <c r="L138" i="1"/>
  <c r="M138" i="1" s="1"/>
  <c r="L136" i="1"/>
  <c r="M136" i="1" s="1"/>
  <c r="L135" i="1"/>
  <c r="M135" i="1" s="1"/>
  <c r="L134" i="1"/>
  <c r="L133" i="1"/>
  <c r="M133" i="1" s="1"/>
  <c r="L132" i="1"/>
  <c r="M132" i="1" s="1"/>
  <c r="L131" i="1"/>
  <c r="L130" i="1"/>
  <c r="M130" i="1" s="1"/>
  <c r="L129" i="1"/>
  <c r="M129" i="1" s="1"/>
  <c r="L128" i="1"/>
  <c r="L126" i="1"/>
  <c r="M126" i="1" s="1"/>
  <c r="L125" i="1"/>
  <c r="L123" i="1"/>
  <c r="M123" i="1" s="1"/>
  <c r="L122" i="1"/>
  <c r="M122" i="1" s="1"/>
  <c r="E26" i="3" s="1"/>
  <c r="F27" i="5" s="1"/>
  <c r="L121" i="1"/>
  <c r="E25" i="3" s="1"/>
  <c r="F26" i="5" s="1"/>
  <c r="L119" i="1"/>
  <c r="M119" i="1" s="1"/>
  <c r="L118" i="1"/>
  <c r="M118" i="1" s="1"/>
  <c r="K115" i="1"/>
  <c r="K114" i="1"/>
  <c r="K113" i="1"/>
  <c r="O113" i="1" s="1"/>
  <c r="L106" i="1"/>
  <c r="M106" i="1" s="1"/>
  <c r="L105" i="1"/>
  <c r="M105" i="1" s="1"/>
  <c r="L104" i="1"/>
  <c r="L102" i="1"/>
  <c r="L101" i="1"/>
  <c r="L100" i="1"/>
  <c r="E19" i="3" s="1"/>
  <c r="F20" i="5" s="1"/>
  <c r="L99" i="1"/>
  <c r="M99" i="1" s="1"/>
  <c r="L98" i="1"/>
  <c r="M98" i="1" s="1"/>
  <c r="L96" i="1"/>
  <c r="M96" i="1" s="1"/>
  <c r="L95" i="1"/>
  <c r="M95" i="1" s="1"/>
  <c r="L94" i="1"/>
  <c r="L93" i="1"/>
  <c r="M93" i="1" s="1"/>
  <c r="L92" i="1"/>
  <c r="M92" i="1" s="1"/>
  <c r="L91" i="1"/>
  <c r="L90" i="1"/>
  <c r="M90" i="1" s="1"/>
  <c r="L89" i="1"/>
  <c r="M89" i="1" s="1"/>
  <c r="L88" i="1"/>
  <c r="L83" i="1"/>
  <c r="M83" i="1" s="1"/>
  <c r="L82" i="1"/>
  <c r="L81" i="1"/>
  <c r="M81" i="1" s="1"/>
  <c r="L80" i="1"/>
  <c r="M80" i="1" s="1"/>
  <c r="L79" i="1"/>
  <c r="L78" i="1"/>
  <c r="M78" i="1" s="1"/>
  <c r="L77" i="1"/>
  <c r="M77" i="1" s="1"/>
  <c r="L76" i="1"/>
  <c r="L75" i="1"/>
  <c r="M75" i="1" s="1"/>
  <c r="L73" i="1"/>
  <c r="L72" i="1"/>
  <c r="M72" i="1" s="1"/>
  <c r="L71" i="1"/>
  <c r="M71" i="1" s="1"/>
  <c r="L70" i="1"/>
  <c r="L69" i="1"/>
  <c r="M69" i="1" s="1"/>
  <c r="L68" i="1"/>
  <c r="M68" i="1" s="1"/>
  <c r="L67" i="1"/>
  <c r="L66" i="1"/>
  <c r="M66" i="1" s="1"/>
  <c r="L65" i="1"/>
  <c r="M65" i="1" s="1"/>
  <c r="L62" i="1"/>
  <c r="M62" i="1" s="1"/>
  <c r="L61" i="1"/>
  <c r="M61" i="1" s="1"/>
  <c r="L60" i="1"/>
  <c r="E17" i="3" s="1"/>
  <c r="F18" i="5" s="1"/>
  <c r="L58" i="1"/>
  <c r="M58" i="1" s="1"/>
  <c r="L57" i="1"/>
  <c r="M57" i="1" s="1"/>
  <c r="L56" i="1"/>
  <c r="E15" i="3" s="1"/>
  <c r="F16" i="5" s="1"/>
  <c r="L51" i="1"/>
  <c r="M51" i="1" s="1"/>
  <c r="L50" i="1"/>
  <c r="M50" i="1" s="1"/>
  <c r="L49" i="1"/>
  <c r="L48" i="1"/>
  <c r="M48" i="1" s="1"/>
  <c r="L47" i="1"/>
  <c r="M47" i="1" s="1"/>
  <c r="L46" i="1"/>
  <c r="L45" i="1"/>
  <c r="M45" i="1" s="1"/>
  <c r="L43" i="1"/>
  <c r="L42" i="1"/>
  <c r="M42" i="1" s="1"/>
  <c r="L41" i="1"/>
  <c r="M41" i="1" s="1"/>
  <c r="L40" i="1"/>
  <c r="L39" i="1"/>
  <c r="M39" i="1" s="1"/>
  <c r="L38" i="1"/>
  <c r="M38" i="1" s="1"/>
  <c r="L37" i="1"/>
  <c r="L36" i="1"/>
  <c r="M36" i="1" s="1"/>
  <c r="L35" i="1"/>
  <c r="M35" i="1" s="1"/>
  <c r="L33" i="1"/>
  <c r="M33" i="1" s="1"/>
  <c r="L32" i="1"/>
  <c r="M32" i="1" s="1"/>
  <c r="L31" i="1"/>
  <c r="L30" i="1"/>
  <c r="M30" i="1" s="1"/>
  <c r="L29" i="1"/>
  <c r="M29" i="1" s="1"/>
  <c r="L28" i="1"/>
  <c r="L27" i="1"/>
  <c r="M27" i="1" s="1"/>
  <c r="L26" i="1"/>
  <c r="M26" i="1" s="1"/>
  <c r="L25" i="1"/>
  <c r="L23" i="1"/>
  <c r="M23" i="1" s="1"/>
  <c r="L22" i="1"/>
  <c r="M22" i="1" s="1"/>
  <c r="L21" i="1"/>
  <c r="E11" i="3" s="1"/>
  <c r="F12" i="5" s="1"/>
  <c r="L7" i="1"/>
  <c r="M7" i="1" s="1"/>
  <c r="L6" i="1"/>
  <c r="M6" i="1" s="1"/>
  <c r="L5" i="1"/>
  <c r="L19" i="1"/>
  <c r="M19" i="1" s="1"/>
  <c r="L18" i="1"/>
  <c r="M18" i="1" s="1"/>
  <c r="E10" i="3" s="1"/>
  <c r="F11" i="5" s="1"/>
  <c r="L17" i="1"/>
  <c r="E9" i="3" s="1"/>
  <c r="F10" i="5" s="1"/>
  <c r="O284" i="1" l="1"/>
  <c r="O285" i="1"/>
  <c r="E30" i="3"/>
  <c r="F31" i="5" s="1"/>
  <c r="E28" i="3"/>
  <c r="F29" i="5" s="1"/>
  <c r="E18" i="3"/>
  <c r="F19" i="5" s="1"/>
  <c r="L297" i="1"/>
  <c r="E12" i="3"/>
  <c r="F13" i="5" s="1"/>
  <c r="P46" i="5"/>
  <c r="E50" i="3"/>
  <c r="F51" i="5" s="1"/>
  <c r="E4" i="3"/>
  <c r="F5" i="5" s="1"/>
  <c r="E52" i="3"/>
  <c r="F53" i="5" s="1"/>
  <c r="K31" i="5"/>
  <c r="E29" i="4"/>
  <c r="E16" i="4"/>
  <c r="E22" i="4"/>
  <c r="E26" i="4"/>
  <c r="K29" i="5" s="1"/>
  <c r="E30" i="4"/>
  <c r="K33" i="5" s="1"/>
  <c r="P33" i="5" s="1"/>
  <c r="L270" i="2"/>
  <c r="E45" i="4"/>
  <c r="K48" i="5" s="1"/>
  <c r="E3" i="4"/>
  <c r="K4" i="5" s="1"/>
  <c r="K23" i="5"/>
  <c r="E21" i="4"/>
  <c r="E9" i="4"/>
  <c r="K12" i="5" s="1"/>
  <c r="P12" i="5" s="1"/>
  <c r="K25" i="5"/>
  <c r="E23" i="4"/>
  <c r="E27" i="4"/>
  <c r="E31" i="4"/>
  <c r="P39" i="5"/>
  <c r="K17" i="5"/>
  <c r="E15" i="4"/>
  <c r="K27" i="5"/>
  <c r="P27" i="5" s="1"/>
  <c r="E25" i="4"/>
  <c r="E7" i="4"/>
  <c r="K10" i="5" s="1"/>
  <c r="P10" i="5" s="1"/>
  <c r="K15" i="5"/>
  <c r="P15" i="5" s="1"/>
  <c r="E13" i="4"/>
  <c r="E19" i="4"/>
  <c r="E44" i="4"/>
  <c r="K47" i="5" s="1"/>
  <c r="P47" i="5" s="1"/>
  <c r="K35" i="5"/>
  <c r="P35" i="5" s="1"/>
  <c r="E33" i="4"/>
  <c r="K44" i="5"/>
  <c r="P44" i="5" s="1"/>
  <c r="J44" i="5"/>
  <c r="E16" i="3"/>
  <c r="F17" i="5" s="1"/>
  <c r="E47" i="3"/>
  <c r="F48" i="5" s="1"/>
  <c r="E53" i="3"/>
  <c r="F54" i="5" s="1"/>
  <c r="P54" i="5" s="1"/>
  <c r="L296" i="1"/>
  <c r="M273" i="1"/>
  <c r="L284" i="1"/>
  <c r="M274" i="1"/>
  <c r="M285" i="1" s="1"/>
  <c r="L285" i="1"/>
  <c r="E3" i="3"/>
  <c r="F4" i="5" s="1"/>
  <c r="L265" i="1"/>
  <c r="E42" i="3"/>
  <c r="F43" i="5" s="1"/>
  <c r="O296" i="1"/>
  <c r="R52" i="1"/>
  <c r="F13" i="3"/>
  <c r="G14" i="5" s="1"/>
  <c r="L114" i="1"/>
  <c r="M114" i="1" s="1"/>
  <c r="O114" i="1"/>
  <c r="L115" i="1"/>
  <c r="M115" i="1" s="1"/>
  <c r="O115" i="1"/>
  <c r="E24" i="3"/>
  <c r="F25" i="5" s="1"/>
  <c r="E44" i="3"/>
  <c r="F45" i="5" s="1"/>
  <c r="P45" i="5" s="1"/>
  <c r="D13" i="3"/>
  <c r="E14" i="5" s="1"/>
  <c r="J52" i="1"/>
  <c r="O301" i="1"/>
  <c r="O302" i="1"/>
  <c r="O297" i="1"/>
  <c r="O298" i="1"/>
  <c r="M183" i="2"/>
  <c r="M253" i="2" s="1"/>
  <c r="M287" i="2" s="1"/>
  <c r="L253" i="2"/>
  <c r="L287" i="2" s="1"/>
  <c r="L283" i="2"/>
  <c r="L284" i="2"/>
  <c r="L288" i="2" s="1"/>
  <c r="L289" i="2"/>
  <c r="L271" i="2"/>
  <c r="M261" i="2"/>
  <c r="L272" i="2"/>
  <c r="M101" i="1"/>
  <c r="M102" i="1"/>
  <c r="L252" i="2"/>
  <c r="M6" i="2"/>
  <c r="L254" i="2"/>
  <c r="M7" i="2"/>
  <c r="M255" i="2" s="1"/>
  <c r="L255" i="2"/>
  <c r="L93" i="2"/>
  <c r="L94" i="2"/>
  <c r="M94" i="2" s="1"/>
  <c r="E18" i="4" s="1"/>
  <c r="K21" i="5" s="1"/>
  <c r="L95" i="2"/>
  <c r="M95" i="2" s="1"/>
  <c r="Q242" i="2"/>
  <c r="R241" i="2" s="1"/>
  <c r="M242" i="2"/>
  <c r="I242" i="2"/>
  <c r="E242" i="2"/>
  <c r="M238" i="2"/>
  <c r="M269" i="2"/>
  <c r="N267" i="2" s="1"/>
  <c r="M260" i="2"/>
  <c r="E46" i="4" s="1"/>
  <c r="K49" i="5" s="1"/>
  <c r="M291" i="1"/>
  <c r="O276" i="1"/>
  <c r="O283" i="1" s="1"/>
  <c r="O299" i="1" s="1"/>
  <c r="N36" i="2"/>
  <c r="N174" i="2"/>
  <c r="N97" i="2"/>
  <c r="N103" i="2"/>
  <c r="N152" i="2"/>
  <c r="N165" i="2"/>
  <c r="N249" i="2"/>
  <c r="N27" i="2"/>
  <c r="N87" i="2"/>
  <c r="N159" i="2"/>
  <c r="N78" i="2"/>
  <c r="N145" i="2"/>
  <c r="N39" i="2"/>
  <c r="N156" i="2"/>
  <c r="N280" i="2"/>
  <c r="N162" i="2"/>
  <c r="N228" i="2"/>
  <c r="N52" i="2"/>
  <c r="N63" i="2"/>
  <c r="N121" i="2"/>
  <c r="N186" i="2"/>
  <c r="N75" i="2"/>
  <c r="N182" i="2"/>
  <c r="N60" i="2"/>
  <c r="N127" i="2"/>
  <c r="N33" i="2"/>
  <c r="N72" i="2"/>
  <c r="N168" i="2"/>
  <c r="N148" i="2"/>
  <c r="N171" i="2"/>
  <c r="N202" i="2"/>
  <c r="N84" i="2"/>
  <c r="N190" i="2"/>
  <c r="N66" i="2"/>
  <c r="N90" i="2"/>
  <c r="N114" i="2"/>
  <c r="N133" i="2"/>
  <c r="N219" i="2"/>
  <c r="M277" i="2"/>
  <c r="N137" i="1"/>
  <c r="N146" i="1"/>
  <c r="N241" i="1"/>
  <c r="N117" i="1"/>
  <c r="R192" i="1"/>
  <c r="N204" i="1"/>
  <c r="N43" i="1"/>
  <c r="N158" i="1"/>
  <c r="N125" i="1"/>
  <c r="N178" i="1"/>
  <c r="N82" i="1"/>
  <c r="N97" i="1"/>
  <c r="J212" i="1"/>
  <c r="F212" i="1"/>
  <c r="N34" i="1"/>
  <c r="P107" i="1"/>
  <c r="R107" i="1" s="1"/>
  <c r="N110" i="1"/>
  <c r="P117" i="1"/>
  <c r="F23" i="3" s="1"/>
  <c r="G24" i="5" s="1"/>
  <c r="N200" i="1"/>
  <c r="N192" i="1"/>
  <c r="L113" i="1"/>
  <c r="E21" i="3" s="1"/>
  <c r="F22" i="5" s="1"/>
  <c r="J107" i="1"/>
  <c r="F107" i="1"/>
  <c r="N64" i="1"/>
  <c r="N169" i="1"/>
  <c r="N229" i="1"/>
  <c r="N188" i="1"/>
  <c r="N73" i="1"/>
  <c r="F110" i="1"/>
  <c r="F192" i="1"/>
  <c r="J192" i="1"/>
  <c r="J110" i="1"/>
  <c r="I295" i="1"/>
  <c r="N212" i="1"/>
  <c r="N107" i="1"/>
  <c r="M295" i="1"/>
  <c r="E56" i="3" s="1"/>
  <c r="F57" i="5" s="1"/>
  <c r="R212" i="1"/>
  <c r="Q295" i="1"/>
  <c r="R110" i="1"/>
  <c r="N17" i="1"/>
  <c r="N181" i="1"/>
  <c r="N37" i="1"/>
  <c r="N143" i="1"/>
  <c r="N134" i="1"/>
  <c r="N40" i="1"/>
  <c r="M290" i="1"/>
  <c r="L149" i="1"/>
  <c r="N149" i="1" s="1"/>
  <c r="N162" i="1"/>
  <c r="N235" i="1"/>
  <c r="L166" i="1"/>
  <c r="N166" i="1" s="1"/>
  <c r="N247" i="1"/>
  <c r="N128" i="1"/>
  <c r="L276" i="1"/>
  <c r="E49" i="3" s="1"/>
  <c r="F50" i="5" s="1"/>
  <c r="N49" i="1"/>
  <c r="N60" i="1"/>
  <c r="N70" i="1"/>
  <c r="N79" i="1"/>
  <c r="N91" i="1"/>
  <c r="N258" i="1"/>
  <c r="N25" i="1"/>
  <c r="N121" i="1"/>
  <c r="N216" i="1"/>
  <c r="N225" i="1"/>
  <c r="N254" i="1"/>
  <c r="N131" i="1"/>
  <c r="N104" i="1"/>
  <c r="N262" i="1"/>
  <c r="N280" i="1"/>
  <c r="N5" i="1"/>
  <c r="N28" i="1"/>
  <c r="N196" i="1"/>
  <c r="N140" i="1"/>
  <c r="L221" i="1"/>
  <c r="L266" i="1" s="1"/>
  <c r="L300" i="1" s="1"/>
  <c r="N232" i="1"/>
  <c r="N46" i="1"/>
  <c r="N56" i="1"/>
  <c r="N67" i="1"/>
  <c r="N76" i="1"/>
  <c r="N88" i="1"/>
  <c r="N21" i="1"/>
  <c r="N31" i="1"/>
  <c r="N69" i="2"/>
  <c r="N118" i="2"/>
  <c r="N136" i="2"/>
  <c r="N178" i="2"/>
  <c r="N106" i="2"/>
  <c r="N17" i="2"/>
  <c r="N30" i="2"/>
  <c r="N194" i="2"/>
  <c r="N222" i="2"/>
  <c r="N231" i="2"/>
  <c r="N21" i="2"/>
  <c r="N42" i="2"/>
  <c r="N110" i="2"/>
  <c r="N130" i="2"/>
  <c r="N139" i="2"/>
  <c r="N13" i="2"/>
  <c r="N45" i="2"/>
  <c r="N81" i="2"/>
  <c r="N198" i="2"/>
  <c r="N215" i="2"/>
  <c r="N225" i="2"/>
  <c r="N56" i="2"/>
  <c r="N100" i="2"/>
  <c r="N24" i="2"/>
  <c r="N124" i="2"/>
  <c r="N142" i="2"/>
  <c r="N206" i="2"/>
  <c r="M264" i="2"/>
  <c r="M265" i="2"/>
  <c r="L211" i="2"/>
  <c r="M278" i="2"/>
  <c r="N94" i="1"/>
  <c r="N172" i="1"/>
  <c r="N244" i="1"/>
  <c r="N152" i="1"/>
  <c r="N175" i="1"/>
  <c r="N208" i="1"/>
  <c r="P25" i="5" l="1"/>
  <c r="P29" i="5"/>
  <c r="E48" i="4"/>
  <c r="K51" i="5" s="1"/>
  <c r="P51" i="5" s="1"/>
  <c r="P31" i="5"/>
  <c r="N272" i="1"/>
  <c r="N100" i="1"/>
  <c r="E22" i="3"/>
  <c r="F23" i="5" s="1"/>
  <c r="P23" i="5" s="1"/>
  <c r="P4" i="5"/>
  <c r="P17" i="5"/>
  <c r="E50" i="4"/>
  <c r="K53" i="5" s="1"/>
  <c r="P53" i="5" s="1"/>
  <c r="E4" i="4"/>
  <c r="P48" i="5"/>
  <c r="N237" i="2"/>
  <c r="E38" i="4"/>
  <c r="K41" i="5" s="1"/>
  <c r="F241" i="2"/>
  <c r="C40" i="4"/>
  <c r="I43" i="5" s="1"/>
  <c r="J241" i="2"/>
  <c r="D40" i="4"/>
  <c r="J43" i="5" s="1"/>
  <c r="K19" i="5"/>
  <c r="P19" i="5" s="1"/>
  <c r="E17" i="4"/>
  <c r="N241" i="2"/>
  <c r="E40" i="4"/>
  <c r="K43" i="5" s="1"/>
  <c r="P43" i="5" s="1"/>
  <c r="M284" i="2"/>
  <c r="E52" i="4"/>
  <c r="K55" i="5" s="1"/>
  <c r="E54" i="3"/>
  <c r="F55" i="5" s="1"/>
  <c r="M297" i="1"/>
  <c r="E20" i="3"/>
  <c r="F21" i="5" s="1"/>
  <c r="P21" i="5" s="1"/>
  <c r="M298" i="1"/>
  <c r="E48" i="3"/>
  <c r="F49" i="5" s="1"/>
  <c r="P49" i="5" s="1"/>
  <c r="M284" i="1"/>
  <c r="L299" i="1"/>
  <c r="L283" i="1"/>
  <c r="L286" i="2"/>
  <c r="M285" i="2"/>
  <c r="M289" i="2" s="1"/>
  <c r="M272" i="2"/>
  <c r="N259" i="2"/>
  <c r="M271" i="2"/>
  <c r="M254" i="2"/>
  <c r="M288" i="2"/>
  <c r="N5" i="2"/>
  <c r="N93" i="2"/>
  <c r="L184" i="1"/>
  <c r="E31" i="3" s="1"/>
  <c r="F32" i="5" s="1"/>
  <c r="N289" i="1"/>
  <c r="N113" i="1"/>
  <c r="N276" i="2"/>
  <c r="N276" i="1"/>
  <c r="L220" i="1"/>
  <c r="E35" i="3" s="1"/>
  <c r="N293" i="1"/>
  <c r="L251" i="1"/>
  <c r="L267" i="1" s="1"/>
  <c r="L301" i="1" s="1"/>
  <c r="L250" i="1"/>
  <c r="E39" i="3" s="1"/>
  <c r="F40" i="5" s="1"/>
  <c r="P40" i="5" s="1"/>
  <c r="L252" i="1"/>
  <c r="L268" i="1" s="1"/>
  <c r="L302" i="1" s="1"/>
  <c r="M221" i="1"/>
  <c r="M211" i="2"/>
  <c r="E34" i="4" s="1"/>
  <c r="K37" i="5" s="1"/>
  <c r="N263" i="2"/>
  <c r="P55" i="5" l="1"/>
  <c r="N296" i="1"/>
  <c r="N283" i="2"/>
  <c r="E55" i="4"/>
  <c r="F36" i="5"/>
  <c r="N286" i="2"/>
  <c r="N283" i="1"/>
  <c r="M266" i="1"/>
  <c r="M300" i="1" s="1"/>
  <c r="E36" i="3"/>
  <c r="F37" i="5" s="1"/>
  <c r="P37" i="5" s="1"/>
  <c r="N270" i="2"/>
  <c r="N252" i="2"/>
  <c r="N184" i="1"/>
  <c r="M252" i="1"/>
  <c r="M268" i="1" s="1"/>
  <c r="M302" i="1" s="1"/>
  <c r="N220" i="1"/>
  <c r="M251" i="1"/>
  <c r="N210" i="2"/>
  <c r="M267" i="1" l="1"/>
  <c r="N265" i="1" s="1"/>
  <c r="E40" i="3"/>
  <c r="F41" i="5" s="1"/>
  <c r="M301" i="1"/>
  <c r="N299" i="1" s="1"/>
  <c r="N250" i="1"/>
  <c r="E57" i="3" l="1"/>
  <c r="P41" i="5"/>
  <c r="H251" i="1"/>
  <c r="I251" i="1" s="1"/>
  <c r="H252" i="1"/>
  <c r="I252" i="1" s="1"/>
  <c r="H250" i="1"/>
  <c r="D39" i="3" s="1"/>
  <c r="E40" i="5" s="1"/>
  <c r="P249" i="1"/>
  <c r="Q249" i="1" s="1"/>
  <c r="H249" i="1"/>
  <c r="I249" i="1" s="1"/>
  <c r="D249" i="1"/>
  <c r="E249" i="1" s="1"/>
  <c r="P248" i="1"/>
  <c r="Q248" i="1" s="1"/>
  <c r="H248" i="1"/>
  <c r="I248" i="1" s="1"/>
  <c r="D248" i="1"/>
  <c r="E248" i="1" s="1"/>
  <c r="P247" i="1"/>
  <c r="H247" i="1"/>
  <c r="D247" i="1"/>
  <c r="I204" i="2"/>
  <c r="D197" i="1"/>
  <c r="D198" i="1"/>
  <c r="D199" i="1"/>
  <c r="D217" i="1"/>
  <c r="D218" i="1"/>
  <c r="D219" i="1"/>
  <c r="D205" i="1"/>
  <c r="D206" i="1"/>
  <c r="D207" i="1"/>
  <c r="D208" i="1"/>
  <c r="D209" i="1"/>
  <c r="D210" i="1"/>
  <c r="D211" i="1"/>
  <c r="D200" i="1"/>
  <c r="D201" i="1"/>
  <c r="H196" i="1"/>
  <c r="H197" i="1"/>
  <c r="H198" i="1"/>
  <c r="H199" i="1"/>
  <c r="H216" i="1"/>
  <c r="H217" i="1"/>
  <c r="H218" i="1"/>
  <c r="H219" i="1"/>
  <c r="H205" i="1"/>
  <c r="H206" i="1"/>
  <c r="H207" i="1"/>
  <c r="H208" i="1"/>
  <c r="H209" i="1"/>
  <c r="H210" i="1"/>
  <c r="H211" i="1"/>
  <c r="H200" i="1"/>
  <c r="H201" i="1"/>
  <c r="D196" i="1"/>
  <c r="D216" i="1"/>
  <c r="H220" i="1"/>
  <c r="D35" i="3" s="1"/>
  <c r="D95" i="2"/>
  <c r="E95" i="2" s="1"/>
  <c r="D94" i="2"/>
  <c r="E94" i="2" s="1"/>
  <c r="D93" i="2"/>
  <c r="C17" i="4" s="1"/>
  <c r="I20" i="5" s="1"/>
  <c r="D239" i="2"/>
  <c r="E239" i="2" s="1"/>
  <c r="D238" i="2"/>
  <c r="D237" i="2"/>
  <c r="C37" i="4" s="1"/>
  <c r="I40" i="5" s="1"/>
  <c r="D213" i="2"/>
  <c r="E213" i="2" s="1"/>
  <c r="D212" i="2"/>
  <c r="E212" i="2" s="1"/>
  <c r="D210" i="2"/>
  <c r="C33" i="4" s="1"/>
  <c r="D176" i="2"/>
  <c r="E176" i="2" s="1"/>
  <c r="D175" i="2"/>
  <c r="E175" i="2" s="1"/>
  <c r="D174" i="2"/>
  <c r="C29" i="4" s="1"/>
  <c r="I32" i="5" s="1"/>
  <c r="D150" i="2"/>
  <c r="E150" i="2" s="1"/>
  <c r="D149" i="2"/>
  <c r="E149" i="2" s="1"/>
  <c r="D148" i="2"/>
  <c r="C25" i="4" s="1"/>
  <c r="I28" i="5" s="1"/>
  <c r="D108" i="2"/>
  <c r="E108" i="2" s="1"/>
  <c r="D107" i="2"/>
  <c r="E107" i="2" s="1"/>
  <c r="D106" i="2"/>
  <c r="C19" i="4" s="1"/>
  <c r="I22" i="5" s="1"/>
  <c r="H13" i="2"/>
  <c r="H14" i="2"/>
  <c r="D14" i="2"/>
  <c r="H15" i="2"/>
  <c r="D15" i="2"/>
  <c r="H5" i="2"/>
  <c r="D5" i="2"/>
  <c r="C3" i="4" s="1"/>
  <c r="I4" i="5" s="1"/>
  <c r="H6" i="2"/>
  <c r="D6" i="2"/>
  <c r="H7" i="2"/>
  <c r="D7" i="2"/>
  <c r="H17" i="2"/>
  <c r="D17" i="2"/>
  <c r="C9" i="4" s="1"/>
  <c r="I12" i="5" s="1"/>
  <c r="H18" i="2"/>
  <c r="I18" i="2" s="1"/>
  <c r="D18" i="2"/>
  <c r="E18" i="2" s="1"/>
  <c r="H19" i="2"/>
  <c r="I19" i="2" s="1"/>
  <c r="D19" i="2"/>
  <c r="E19" i="2" s="1"/>
  <c r="H21" i="2"/>
  <c r="D21" i="2"/>
  <c r="H22" i="2"/>
  <c r="I22" i="2" s="1"/>
  <c r="D22" i="2"/>
  <c r="E22" i="2" s="1"/>
  <c r="H23" i="2"/>
  <c r="I23" i="2" s="1"/>
  <c r="D23" i="2"/>
  <c r="E23" i="2" s="1"/>
  <c r="H24" i="2"/>
  <c r="D24" i="2"/>
  <c r="H25" i="2"/>
  <c r="I25" i="2" s="1"/>
  <c r="D25" i="2"/>
  <c r="E25" i="2" s="1"/>
  <c r="H26" i="2"/>
  <c r="I26" i="2" s="1"/>
  <c r="D26" i="2"/>
  <c r="E26" i="2" s="1"/>
  <c r="H27" i="2"/>
  <c r="D27" i="2"/>
  <c r="H28" i="2"/>
  <c r="I28" i="2" s="1"/>
  <c r="D28" i="2"/>
  <c r="E28" i="2" s="1"/>
  <c r="H29" i="2"/>
  <c r="I29" i="2" s="1"/>
  <c r="D29" i="2"/>
  <c r="E29" i="2" s="1"/>
  <c r="H30" i="2"/>
  <c r="D30" i="2"/>
  <c r="H31" i="2"/>
  <c r="I31" i="2" s="1"/>
  <c r="D31" i="2"/>
  <c r="E31" i="2" s="1"/>
  <c r="H32" i="2"/>
  <c r="I32" i="2" s="1"/>
  <c r="D32" i="2"/>
  <c r="E32" i="2" s="1"/>
  <c r="H33" i="2"/>
  <c r="D33" i="2"/>
  <c r="H34" i="2"/>
  <c r="I34" i="2" s="1"/>
  <c r="D34" i="2"/>
  <c r="E34" i="2" s="1"/>
  <c r="H35" i="2"/>
  <c r="I35" i="2" s="1"/>
  <c r="D35" i="2"/>
  <c r="E35" i="2" s="1"/>
  <c r="H36" i="2"/>
  <c r="D36" i="2"/>
  <c r="H37" i="2"/>
  <c r="I37" i="2" s="1"/>
  <c r="D37" i="2"/>
  <c r="E37" i="2" s="1"/>
  <c r="H38" i="2"/>
  <c r="I38" i="2" s="1"/>
  <c r="D38" i="2"/>
  <c r="E38" i="2" s="1"/>
  <c r="H39" i="2"/>
  <c r="D39" i="2"/>
  <c r="H40" i="2"/>
  <c r="I40" i="2" s="1"/>
  <c r="D40" i="2"/>
  <c r="E40" i="2" s="1"/>
  <c r="H41" i="2"/>
  <c r="I41" i="2" s="1"/>
  <c r="D41" i="2"/>
  <c r="E41" i="2" s="1"/>
  <c r="H42" i="2"/>
  <c r="D42" i="2"/>
  <c r="H43" i="2"/>
  <c r="I43" i="2" s="1"/>
  <c r="D43" i="2"/>
  <c r="E43" i="2" s="1"/>
  <c r="H44" i="2"/>
  <c r="I44" i="2" s="1"/>
  <c r="D44" i="2"/>
  <c r="E44" i="2" s="1"/>
  <c r="H45" i="2"/>
  <c r="D45" i="2"/>
  <c r="H46" i="2"/>
  <c r="I46" i="2" s="1"/>
  <c r="D46" i="2"/>
  <c r="E46" i="2" s="1"/>
  <c r="H47" i="2"/>
  <c r="I47" i="2" s="1"/>
  <c r="D47" i="2"/>
  <c r="E47" i="2" s="1"/>
  <c r="H52" i="2"/>
  <c r="D52" i="2"/>
  <c r="C13" i="4" s="1"/>
  <c r="I16" i="5" s="1"/>
  <c r="H53" i="2"/>
  <c r="I53" i="2" s="1"/>
  <c r="D53" i="2"/>
  <c r="E53" i="2" s="1"/>
  <c r="C14" i="4" s="1"/>
  <c r="I17" i="5" s="1"/>
  <c r="H54" i="2"/>
  <c r="I54" i="2" s="1"/>
  <c r="D54" i="2"/>
  <c r="E54" i="2" s="1"/>
  <c r="H56" i="2"/>
  <c r="D56" i="2"/>
  <c r="C15" i="4" s="1"/>
  <c r="I18" i="5" s="1"/>
  <c r="H57" i="2"/>
  <c r="I57" i="2" s="1"/>
  <c r="D57" i="2"/>
  <c r="E57" i="2" s="1"/>
  <c r="H58" i="2"/>
  <c r="I58" i="2" s="1"/>
  <c r="D58" i="2"/>
  <c r="E58" i="2" s="1"/>
  <c r="H60" i="2"/>
  <c r="D60" i="2"/>
  <c r="H61" i="2"/>
  <c r="I61" i="2" s="1"/>
  <c r="D61" i="2"/>
  <c r="E61" i="2" s="1"/>
  <c r="H62" i="2"/>
  <c r="I62" i="2" s="1"/>
  <c r="D62" i="2"/>
  <c r="E62" i="2" s="1"/>
  <c r="H63" i="2"/>
  <c r="D63" i="2"/>
  <c r="H64" i="2"/>
  <c r="I64" i="2" s="1"/>
  <c r="D64" i="2"/>
  <c r="E64" i="2" s="1"/>
  <c r="H65" i="2"/>
  <c r="I65" i="2" s="1"/>
  <c r="D65" i="2"/>
  <c r="E65" i="2" s="1"/>
  <c r="H66" i="2"/>
  <c r="D66" i="2"/>
  <c r="H67" i="2"/>
  <c r="I67" i="2" s="1"/>
  <c r="D67" i="2"/>
  <c r="E67" i="2" s="1"/>
  <c r="H68" i="2"/>
  <c r="I68" i="2" s="1"/>
  <c r="D68" i="2"/>
  <c r="E68" i="2" s="1"/>
  <c r="H69" i="2"/>
  <c r="D69" i="2"/>
  <c r="H70" i="2"/>
  <c r="I70" i="2" s="1"/>
  <c r="D70" i="2"/>
  <c r="E70" i="2" s="1"/>
  <c r="H71" i="2"/>
  <c r="I71" i="2" s="1"/>
  <c r="D71" i="2"/>
  <c r="E71" i="2" s="1"/>
  <c r="H72" i="2"/>
  <c r="D72" i="2"/>
  <c r="H73" i="2"/>
  <c r="I73" i="2" s="1"/>
  <c r="D73" i="2"/>
  <c r="E73" i="2" s="1"/>
  <c r="H74" i="2"/>
  <c r="I74" i="2" s="1"/>
  <c r="D74" i="2"/>
  <c r="E74" i="2" s="1"/>
  <c r="H75" i="2"/>
  <c r="D75" i="2"/>
  <c r="H76" i="2"/>
  <c r="I76" i="2" s="1"/>
  <c r="D76" i="2"/>
  <c r="E76" i="2" s="1"/>
  <c r="H77" i="2"/>
  <c r="I77" i="2" s="1"/>
  <c r="D77" i="2"/>
  <c r="E77" i="2" s="1"/>
  <c r="H78" i="2"/>
  <c r="D78" i="2"/>
  <c r="H79" i="2"/>
  <c r="I79" i="2" s="1"/>
  <c r="D79" i="2"/>
  <c r="E79" i="2" s="1"/>
  <c r="H80" i="2"/>
  <c r="I80" i="2" s="1"/>
  <c r="D80" i="2"/>
  <c r="E80" i="2" s="1"/>
  <c r="H81" i="2"/>
  <c r="D81" i="2"/>
  <c r="H82" i="2"/>
  <c r="I82" i="2" s="1"/>
  <c r="D82" i="2"/>
  <c r="E82" i="2" s="1"/>
  <c r="H83" i="2"/>
  <c r="I83" i="2" s="1"/>
  <c r="D83" i="2"/>
  <c r="E83" i="2" s="1"/>
  <c r="H84" i="2"/>
  <c r="D84" i="2"/>
  <c r="H85" i="2"/>
  <c r="I85" i="2" s="1"/>
  <c r="D85" i="2"/>
  <c r="E85" i="2" s="1"/>
  <c r="H86" i="2"/>
  <c r="I86" i="2" s="1"/>
  <c r="D86" i="2"/>
  <c r="E86" i="2" s="1"/>
  <c r="H87" i="2"/>
  <c r="D87" i="2"/>
  <c r="H88" i="2"/>
  <c r="I88" i="2" s="1"/>
  <c r="D88" i="2"/>
  <c r="E88" i="2" s="1"/>
  <c r="H89" i="2"/>
  <c r="I89" i="2" s="1"/>
  <c r="D89" i="2"/>
  <c r="E89" i="2" s="1"/>
  <c r="H90" i="2"/>
  <c r="D90" i="2"/>
  <c r="H91" i="2"/>
  <c r="I91" i="2" s="1"/>
  <c r="D91" i="2"/>
  <c r="E91" i="2" s="1"/>
  <c r="H92" i="2"/>
  <c r="I92" i="2" s="1"/>
  <c r="D92" i="2"/>
  <c r="E92" i="2" s="1"/>
  <c r="H93" i="2"/>
  <c r="H94" i="2"/>
  <c r="I94" i="2" s="1"/>
  <c r="H95" i="2"/>
  <c r="I95" i="2" s="1"/>
  <c r="H97" i="2"/>
  <c r="D97" i="2"/>
  <c r="H98" i="2"/>
  <c r="I98" i="2" s="1"/>
  <c r="D98" i="2"/>
  <c r="E98" i="2" s="1"/>
  <c r="H99" i="2"/>
  <c r="I99" i="2" s="1"/>
  <c r="D99" i="2"/>
  <c r="E99" i="2" s="1"/>
  <c r="H100" i="2"/>
  <c r="D100" i="2"/>
  <c r="H101" i="2"/>
  <c r="I101" i="2" s="1"/>
  <c r="D101" i="2"/>
  <c r="E101" i="2" s="1"/>
  <c r="H102" i="2"/>
  <c r="I102" i="2" s="1"/>
  <c r="D102" i="2"/>
  <c r="E102" i="2" s="1"/>
  <c r="H103" i="2"/>
  <c r="D103" i="2"/>
  <c r="H104" i="2"/>
  <c r="I104" i="2" s="1"/>
  <c r="D104" i="2"/>
  <c r="E104" i="2" s="1"/>
  <c r="H105" i="2"/>
  <c r="I105" i="2" s="1"/>
  <c r="D105" i="2"/>
  <c r="E105" i="2" s="1"/>
  <c r="H106" i="2"/>
  <c r="H107" i="2"/>
  <c r="I107" i="2" s="1"/>
  <c r="D20" i="4" s="1"/>
  <c r="H108" i="2"/>
  <c r="I108" i="2" s="1"/>
  <c r="H110" i="2"/>
  <c r="D110" i="2"/>
  <c r="C21" i="4" s="1"/>
  <c r="I24" i="5" s="1"/>
  <c r="N24" i="5" s="1"/>
  <c r="H111" i="2"/>
  <c r="I111" i="2" s="1"/>
  <c r="D111" i="2"/>
  <c r="E111" i="2" s="1"/>
  <c r="H112" i="2"/>
  <c r="I112" i="2" s="1"/>
  <c r="D112" i="2"/>
  <c r="E112" i="2" s="1"/>
  <c r="H114" i="2"/>
  <c r="D114" i="2"/>
  <c r="C23" i="4" s="1"/>
  <c r="I26" i="5" s="1"/>
  <c r="H115" i="2"/>
  <c r="I115" i="2" s="1"/>
  <c r="D115" i="2"/>
  <c r="E115" i="2" s="1"/>
  <c r="C24" i="4" s="1"/>
  <c r="I27" i="5" s="1"/>
  <c r="H116" i="2"/>
  <c r="I116" i="2" s="1"/>
  <c r="D116" i="2"/>
  <c r="E116" i="2" s="1"/>
  <c r="H118" i="2"/>
  <c r="D118" i="2"/>
  <c r="H119" i="2"/>
  <c r="I119" i="2" s="1"/>
  <c r="D119" i="2"/>
  <c r="E119" i="2" s="1"/>
  <c r="H120" i="2"/>
  <c r="I120" i="2" s="1"/>
  <c r="D120" i="2"/>
  <c r="E120" i="2" s="1"/>
  <c r="H121" i="2"/>
  <c r="D121" i="2"/>
  <c r="H122" i="2"/>
  <c r="I122" i="2" s="1"/>
  <c r="D122" i="2"/>
  <c r="E122" i="2" s="1"/>
  <c r="H123" i="2"/>
  <c r="I123" i="2" s="1"/>
  <c r="D123" i="2"/>
  <c r="E123" i="2" s="1"/>
  <c r="H124" i="2"/>
  <c r="D124" i="2"/>
  <c r="H125" i="2"/>
  <c r="I125" i="2" s="1"/>
  <c r="D125" i="2"/>
  <c r="E125" i="2" s="1"/>
  <c r="H126" i="2"/>
  <c r="I126" i="2" s="1"/>
  <c r="D126" i="2"/>
  <c r="E126" i="2" s="1"/>
  <c r="H127" i="2"/>
  <c r="D127" i="2"/>
  <c r="H128" i="2"/>
  <c r="I128" i="2" s="1"/>
  <c r="D128" i="2"/>
  <c r="E128" i="2" s="1"/>
  <c r="H129" i="2"/>
  <c r="I129" i="2" s="1"/>
  <c r="D129" i="2"/>
  <c r="E129" i="2" s="1"/>
  <c r="H130" i="2"/>
  <c r="D130" i="2"/>
  <c r="H131" i="2"/>
  <c r="I131" i="2" s="1"/>
  <c r="D131" i="2"/>
  <c r="E131" i="2" s="1"/>
  <c r="H132" i="2"/>
  <c r="I132" i="2" s="1"/>
  <c r="D132" i="2"/>
  <c r="E132" i="2" s="1"/>
  <c r="H133" i="2"/>
  <c r="D133" i="2"/>
  <c r="H134" i="2"/>
  <c r="I134" i="2" s="1"/>
  <c r="D134" i="2"/>
  <c r="E134" i="2" s="1"/>
  <c r="H135" i="2"/>
  <c r="I135" i="2" s="1"/>
  <c r="D135" i="2"/>
  <c r="E135" i="2" s="1"/>
  <c r="H136" i="2"/>
  <c r="D136" i="2"/>
  <c r="H137" i="2"/>
  <c r="I137" i="2" s="1"/>
  <c r="D137" i="2"/>
  <c r="E137" i="2" s="1"/>
  <c r="H138" i="2"/>
  <c r="I138" i="2" s="1"/>
  <c r="D138" i="2"/>
  <c r="E138" i="2" s="1"/>
  <c r="H139" i="2"/>
  <c r="D139" i="2"/>
  <c r="H140" i="2"/>
  <c r="I140" i="2" s="1"/>
  <c r="D140" i="2"/>
  <c r="E140" i="2" s="1"/>
  <c r="H141" i="2"/>
  <c r="I141" i="2" s="1"/>
  <c r="D141" i="2"/>
  <c r="E141" i="2" s="1"/>
  <c r="H142" i="2"/>
  <c r="D142" i="2"/>
  <c r="H143" i="2"/>
  <c r="I143" i="2" s="1"/>
  <c r="D143" i="2"/>
  <c r="E143" i="2" s="1"/>
  <c r="H144" i="2"/>
  <c r="I144" i="2" s="1"/>
  <c r="D144" i="2"/>
  <c r="E144" i="2" s="1"/>
  <c r="H145" i="2"/>
  <c r="D145" i="2"/>
  <c r="H146" i="2"/>
  <c r="I146" i="2" s="1"/>
  <c r="D146" i="2"/>
  <c r="E146" i="2" s="1"/>
  <c r="H147" i="2"/>
  <c r="I147" i="2" s="1"/>
  <c r="D147" i="2"/>
  <c r="E147" i="2" s="1"/>
  <c r="H148" i="2"/>
  <c r="H149" i="2"/>
  <c r="I149" i="2" s="1"/>
  <c r="D26" i="4" s="1"/>
  <c r="H150" i="2"/>
  <c r="I150" i="2" s="1"/>
  <c r="H152" i="2"/>
  <c r="D152" i="2"/>
  <c r="C27" i="4" s="1"/>
  <c r="I30" i="5" s="1"/>
  <c r="H153" i="2"/>
  <c r="I153" i="2" s="1"/>
  <c r="D153" i="2"/>
  <c r="E153" i="2" s="1"/>
  <c r="H154" i="2"/>
  <c r="I154" i="2" s="1"/>
  <c r="D154" i="2"/>
  <c r="E154" i="2" s="1"/>
  <c r="H156" i="2"/>
  <c r="D156" i="2"/>
  <c r="H157" i="2"/>
  <c r="I157" i="2" s="1"/>
  <c r="D157" i="2"/>
  <c r="E157" i="2" s="1"/>
  <c r="H158" i="2"/>
  <c r="I158" i="2" s="1"/>
  <c r="D158" i="2"/>
  <c r="E158" i="2" s="1"/>
  <c r="H159" i="2"/>
  <c r="D159" i="2"/>
  <c r="H160" i="2"/>
  <c r="I160" i="2" s="1"/>
  <c r="D160" i="2"/>
  <c r="E160" i="2" s="1"/>
  <c r="H161" i="2"/>
  <c r="I161" i="2" s="1"/>
  <c r="D161" i="2"/>
  <c r="E161" i="2" s="1"/>
  <c r="H162" i="2"/>
  <c r="D162" i="2"/>
  <c r="H163" i="2"/>
  <c r="I163" i="2" s="1"/>
  <c r="D163" i="2"/>
  <c r="E163" i="2" s="1"/>
  <c r="H164" i="2"/>
  <c r="I164" i="2" s="1"/>
  <c r="D164" i="2"/>
  <c r="E164" i="2" s="1"/>
  <c r="H165" i="2"/>
  <c r="D165" i="2"/>
  <c r="H166" i="2"/>
  <c r="I166" i="2" s="1"/>
  <c r="D166" i="2"/>
  <c r="E166" i="2" s="1"/>
  <c r="H167" i="2"/>
  <c r="I167" i="2" s="1"/>
  <c r="D167" i="2"/>
  <c r="E167" i="2" s="1"/>
  <c r="H168" i="2"/>
  <c r="D168" i="2"/>
  <c r="H169" i="2"/>
  <c r="I169" i="2" s="1"/>
  <c r="D169" i="2"/>
  <c r="E169" i="2" s="1"/>
  <c r="H170" i="2"/>
  <c r="I170" i="2" s="1"/>
  <c r="D170" i="2"/>
  <c r="E170" i="2" s="1"/>
  <c r="H171" i="2"/>
  <c r="D171" i="2"/>
  <c r="H172" i="2"/>
  <c r="I172" i="2" s="1"/>
  <c r="D172" i="2"/>
  <c r="E172" i="2" s="1"/>
  <c r="H173" i="2"/>
  <c r="I173" i="2" s="1"/>
  <c r="D173" i="2"/>
  <c r="E173" i="2" s="1"/>
  <c r="H174" i="2"/>
  <c r="H175" i="2"/>
  <c r="I175" i="2" s="1"/>
  <c r="D30" i="4" s="1"/>
  <c r="H176" i="2"/>
  <c r="I176" i="2" s="1"/>
  <c r="H178" i="2"/>
  <c r="D178" i="2"/>
  <c r="C31" i="4" s="1"/>
  <c r="I34" i="5" s="1"/>
  <c r="H179" i="2"/>
  <c r="I179" i="2" s="1"/>
  <c r="D179" i="2"/>
  <c r="E179" i="2" s="1"/>
  <c r="H180" i="2"/>
  <c r="I180" i="2" s="1"/>
  <c r="D180" i="2"/>
  <c r="E180" i="2" s="1"/>
  <c r="H186" i="2"/>
  <c r="D186" i="2"/>
  <c r="H187" i="2"/>
  <c r="I187" i="2" s="1"/>
  <c r="D187" i="2"/>
  <c r="E187" i="2" s="1"/>
  <c r="H188" i="2"/>
  <c r="I188" i="2" s="1"/>
  <c r="D188" i="2"/>
  <c r="E188" i="2" s="1"/>
  <c r="H189" i="2"/>
  <c r="I189" i="2" s="1"/>
  <c r="D189" i="2"/>
  <c r="E189" i="2" s="1"/>
  <c r="H206" i="2"/>
  <c r="D206" i="2"/>
  <c r="H207" i="2"/>
  <c r="I207" i="2" s="1"/>
  <c r="D207" i="2"/>
  <c r="H208" i="2"/>
  <c r="I208" i="2" s="1"/>
  <c r="D208" i="2"/>
  <c r="E208" i="2" s="1"/>
  <c r="H209" i="2"/>
  <c r="I209" i="2" s="1"/>
  <c r="D209" i="2"/>
  <c r="E209" i="2" s="1"/>
  <c r="H194" i="2"/>
  <c r="D194" i="2"/>
  <c r="H195" i="2"/>
  <c r="I195" i="2" s="1"/>
  <c r="D195" i="2"/>
  <c r="E195" i="2" s="1"/>
  <c r="H196" i="2"/>
  <c r="I196" i="2" s="1"/>
  <c r="D196" i="2"/>
  <c r="E196" i="2" s="1"/>
  <c r="H197" i="2"/>
  <c r="I197" i="2" s="1"/>
  <c r="D197" i="2"/>
  <c r="E197" i="2" s="1"/>
  <c r="H198" i="2"/>
  <c r="D198" i="2"/>
  <c r="H199" i="2"/>
  <c r="I199" i="2" s="1"/>
  <c r="D199" i="2"/>
  <c r="E199" i="2" s="1"/>
  <c r="H200" i="2"/>
  <c r="I200" i="2" s="1"/>
  <c r="D200" i="2"/>
  <c r="E200" i="2" s="1"/>
  <c r="H201" i="2"/>
  <c r="I201" i="2" s="1"/>
  <c r="D201" i="2"/>
  <c r="E201" i="2" s="1"/>
  <c r="H190" i="2"/>
  <c r="D190" i="2"/>
  <c r="H191" i="2"/>
  <c r="I191" i="2" s="1"/>
  <c r="D191" i="2"/>
  <c r="E191" i="2" s="1"/>
  <c r="H192" i="2"/>
  <c r="I192" i="2" s="1"/>
  <c r="D192" i="2"/>
  <c r="E192" i="2" s="1"/>
  <c r="H193" i="2"/>
  <c r="I193" i="2" s="1"/>
  <c r="D193" i="2"/>
  <c r="E193" i="2" s="1"/>
  <c r="H202" i="2"/>
  <c r="D202" i="2"/>
  <c r="D203" i="2"/>
  <c r="E203" i="2" s="1"/>
  <c r="D204" i="2"/>
  <c r="E204" i="2" s="1"/>
  <c r="H205" i="2"/>
  <c r="I205" i="2" s="1"/>
  <c r="D205" i="2"/>
  <c r="E205" i="2" s="1"/>
  <c r="H182" i="2"/>
  <c r="D182" i="2"/>
  <c r="H183" i="2"/>
  <c r="D183" i="2"/>
  <c r="E183" i="2" s="1"/>
  <c r="H184" i="2"/>
  <c r="I184" i="2" s="1"/>
  <c r="D184" i="2"/>
  <c r="E184" i="2" s="1"/>
  <c r="H185" i="2"/>
  <c r="I185" i="2" s="1"/>
  <c r="D185" i="2"/>
  <c r="E185" i="2" s="1"/>
  <c r="H210" i="2"/>
  <c r="H212" i="2"/>
  <c r="I212" i="2" s="1"/>
  <c r="H213" i="2"/>
  <c r="I213" i="2" s="1"/>
  <c r="H215" i="2"/>
  <c r="D35" i="4" s="1"/>
  <c r="D215" i="2"/>
  <c r="C35" i="4" s="1"/>
  <c r="I38" i="5" s="1"/>
  <c r="H216" i="2"/>
  <c r="I216" i="2" s="1"/>
  <c r="D216" i="2"/>
  <c r="E216" i="2" s="1"/>
  <c r="H217" i="2"/>
  <c r="I217" i="2" s="1"/>
  <c r="D217" i="2"/>
  <c r="E217" i="2" s="1"/>
  <c r="H219" i="2"/>
  <c r="D219" i="2"/>
  <c r="H220" i="2"/>
  <c r="I220" i="2" s="1"/>
  <c r="D220" i="2"/>
  <c r="E220" i="2" s="1"/>
  <c r="H221" i="2"/>
  <c r="I221" i="2" s="1"/>
  <c r="D221" i="2"/>
  <c r="E221" i="2" s="1"/>
  <c r="H222" i="2"/>
  <c r="D222" i="2"/>
  <c r="H223" i="2"/>
  <c r="I223" i="2" s="1"/>
  <c r="D223" i="2"/>
  <c r="E223" i="2" s="1"/>
  <c r="H224" i="2"/>
  <c r="I224" i="2" s="1"/>
  <c r="D224" i="2"/>
  <c r="E224" i="2" s="1"/>
  <c r="H225" i="2"/>
  <c r="D225" i="2"/>
  <c r="H226" i="2"/>
  <c r="I226" i="2" s="1"/>
  <c r="D226" i="2"/>
  <c r="E226" i="2" s="1"/>
  <c r="H227" i="2"/>
  <c r="I227" i="2" s="1"/>
  <c r="D227" i="2"/>
  <c r="E227" i="2" s="1"/>
  <c r="H228" i="2"/>
  <c r="D228" i="2"/>
  <c r="H229" i="2"/>
  <c r="I229" i="2" s="1"/>
  <c r="D229" i="2"/>
  <c r="E229" i="2" s="1"/>
  <c r="H230" i="2"/>
  <c r="I230" i="2" s="1"/>
  <c r="D230" i="2"/>
  <c r="E230" i="2" s="1"/>
  <c r="H231" i="2"/>
  <c r="D231" i="2"/>
  <c r="H232" i="2"/>
  <c r="I232" i="2" s="1"/>
  <c r="D232" i="2"/>
  <c r="E232" i="2" s="1"/>
  <c r="H233" i="2"/>
  <c r="I233" i="2" s="1"/>
  <c r="D233" i="2"/>
  <c r="E233" i="2" s="1"/>
  <c r="H237" i="2"/>
  <c r="D37" i="4" s="1"/>
  <c r="J40" i="5" s="1"/>
  <c r="H238" i="2"/>
  <c r="H239" i="2"/>
  <c r="I239" i="2" s="1"/>
  <c r="H249" i="2"/>
  <c r="D43" i="4" s="1"/>
  <c r="J46" i="5" s="1"/>
  <c r="D249" i="2"/>
  <c r="C43" i="4" s="1"/>
  <c r="I46" i="5" s="1"/>
  <c r="H250" i="2"/>
  <c r="I250" i="2" s="1"/>
  <c r="D250" i="2"/>
  <c r="E250" i="2" s="1"/>
  <c r="C44" i="4" s="1"/>
  <c r="I47" i="5" s="1"/>
  <c r="H251" i="2"/>
  <c r="I251" i="2" s="1"/>
  <c r="D251" i="2"/>
  <c r="E251" i="2" s="1"/>
  <c r="H259" i="2"/>
  <c r="D45" i="4" s="1"/>
  <c r="J48" i="5" s="1"/>
  <c r="D259" i="2"/>
  <c r="C45" i="4" s="1"/>
  <c r="I48" i="5" s="1"/>
  <c r="H260" i="2"/>
  <c r="D260" i="2"/>
  <c r="H261" i="2"/>
  <c r="D261" i="2"/>
  <c r="H263" i="2"/>
  <c r="D47" i="4" s="1"/>
  <c r="D263" i="2"/>
  <c r="C47" i="4" s="1"/>
  <c r="I50" i="5" s="1"/>
  <c r="H264" i="2"/>
  <c r="D264" i="2"/>
  <c r="H265" i="2"/>
  <c r="I265" i="2" s="1"/>
  <c r="D265" i="2"/>
  <c r="E265" i="2" s="1"/>
  <c r="H267" i="2"/>
  <c r="D49" i="4" s="1"/>
  <c r="D267" i="2"/>
  <c r="C49" i="4" s="1"/>
  <c r="I52" i="5" s="1"/>
  <c r="H268" i="2"/>
  <c r="I268" i="2" s="1"/>
  <c r="D268" i="2"/>
  <c r="E268" i="2" s="1"/>
  <c r="H269" i="2"/>
  <c r="D269" i="2"/>
  <c r="H276" i="2"/>
  <c r="D51" i="4" s="1"/>
  <c r="J54" i="5" s="1"/>
  <c r="H277" i="2"/>
  <c r="H278" i="2"/>
  <c r="H280" i="2"/>
  <c r="D53" i="4" s="1"/>
  <c r="D283" i="2"/>
  <c r="H281" i="2"/>
  <c r="I281" i="2" s="1"/>
  <c r="D281" i="2"/>
  <c r="H282" i="2"/>
  <c r="I282" i="2" s="1"/>
  <c r="D282" i="2"/>
  <c r="D32" i="4" l="1"/>
  <c r="J35" i="5" s="1"/>
  <c r="D22" i="4"/>
  <c r="J25" i="5" s="1"/>
  <c r="D16" i="4"/>
  <c r="J19" i="5" s="1"/>
  <c r="D54" i="4"/>
  <c r="D40" i="3"/>
  <c r="E41" i="5" s="1"/>
  <c r="C20" i="4"/>
  <c r="I23" i="5" s="1"/>
  <c r="C26" i="4"/>
  <c r="I29" i="5" s="1"/>
  <c r="C18" i="4"/>
  <c r="I21" i="5" s="1"/>
  <c r="D29" i="4"/>
  <c r="J32" i="5" s="1"/>
  <c r="D19" i="4"/>
  <c r="J22" i="5" s="1"/>
  <c r="C10" i="4"/>
  <c r="I13" i="5" s="1"/>
  <c r="D44" i="4"/>
  <c r="J47" i="5" s="1"/>
  <c r="D24" i="4"/>
  <c r="D14" i="4"/>
  <c r="J17" i="5" s="1"/>
  <c r="D10" i="4"/>
  <c r="J13" i="5" s="1"/>
  <c r="D7" i="4"/>
  <c r="J10" i="5" s="1"/>
  <c r="C36" i="4"/>
  <c r="I39" i="5" s="1"/>
  <c r="C28" i="4"/>
  <c r="I31" i="5" s="1"/>
  <c r="D23" i="4"/>
  <c r="J26" i="5" s="1"/>
  <c r="D13" i="4"/>
  <c r="J16" i="5" s="1"/>
  <c r="D9" i="4"/>
  <c r="J12" i="5" s="1"/>
  <c r="D36" i="4"/>
  <c r="J39" i="5" s="1"/>
  <c r="D28" i="4"/>
  <c r="J31" i="5" s="1"/>
  <c r="C32" i="4"/>
  <c r="I35" i="5" s="1"/>
  <c r="J29" i="5"/>
  <c r="D27" i="4"/>
  <c r="C22" i="4"/>
  <c r="I25" i="5" s="1"/>
  <c r="C16" i="4"/>
  <c r="I19" i="5" s="1"/>
  <c r="O40" i="5"/>
  <c r="D18" i="4"/>
  <c r="J21" i="5" s="1"/>
  <c r="J33" i="5"/>
  <c r="D31" i="4"/>
  <c r="J34" i="5" s="1"/>
  <c r="J27" i="5"/>
  <c r="D25" i="4"/>
  <c r="J28" i="5" s="1"/>
  <c r="J23" i="5"/>
  <c r="D21" i="4"/>
  <c r="J24" i="5" s="1"/>
  <c r="O24" i="5" s="1"/>
  <c r="D17" i="4"/>
  <c r="J20" i="5" s="1"/>
  <c r="D15" i="4"/>
  <c r="J18" i="5" s="1"/>
  <c r="D3" i="4"/>
  <c r="J4" i="5" s="1"/>
  <c r="C30" i="4"/>
  <c r="I33" i="5" s="1"/>
  <c r="D33" i="4"/>
  <c r="I36" i="5"/>
  <c r="E36" i="5"/>
  <c r="K42" i="5"/>
  <c r="P42" i="5" s="1"/>
  <c r="J42" i="5"/>
  <c r="K38" i="5"/>
  <c r="P38" i="5" s="1"/>
  <c r="J38" i="5"/>
  <c r="K30" i="5"/>
  <c r="P30" i="5" s="1"/>
  <c r="J30" i="5"/>
  <c r="K34" i="5"/>
  <c r="P34" i="5" s="1"/>
  <c r="K24" i="5"/>
  <c r="P24" i="5" s="1"/>
  <c r="K18" i="5"/>
  <c r="P18" i="5" s="1"/>
  <c r="K28" i="5"/>
  <c r="P28" i="5" s="1"/>
  <c r="K20" i="5"/>
  <c r="P20" i="5" s="1"/>
  <c r="K52" i="5"/>
  <c r="P52" i="5" s="1"/>
  <c r="J52" i="5"/>
  <c r="K32" i="5"/>
  <c r="P32" i="5" s="1"/>
  <c r="K22" i="5"/>
  <c r="P22" i="5" s="1"/>
  <c r="K26" i="5"/>
  <c r="P26" i="5" s="1"/>
  <c r="K16" i="5"/>
  <c r="P16" i="5" s="1"/>
  <c r="K13" i="5"/>
  <c r="P13" i="5" s="1"/>
  <c r="I277" i="2"/>
  <c r="H284" i="2"/>
  <c r="H288" i="2" s="1"/>
  <c r="H283" i="2"/>
  <c r="I183" i="2"/>
  <c r="I253" i="2" s="1"/>
  <c r="I287" i="2" s="1"/>
  <c r="H253" i="2"/>
  <c r="H287" i="2" s="1"/>
  <c r="D271" i="2"/>
  <c r="I261" i="2"/>
  <c r="H272" i="2"/>
  <c r="H271" i="2"/>
  <c r="E261" i="2"/>
  <c r="D272" i="2"/>
  <c r="E284" i="2"/>
  <c r="D284" i="2"/>
  <c r="D288" i="2" s="1"/>
  <c r="H270" i="2"/>
  <c r="E285" i="2"/>
  <c r="D285" i="2"/>
  <c r="D289" i="2" s="1"/>
  <c r="E264" i="2"/>
  <c r="I278" i="2"/>
  <c r="H285" i="2"/>
  <c r="H289" i="2" s="1"/>
  <c r="I264" i="2"/>
  <c r="D48" i="4" s="1"/>
  <c r="J51" i="5" s="1"/>
  <c r="E207" i="2"/>
  <c r="E253" i="2" s="1"/>
  <c r="E287" i="2" s="1"/>
  <c r="D253" i="2"/>
  <c r="D287" i="2" s="1"/>
  <c r="E7" i="2"/>
  <c r="D255" i="2"/>
  <c r="I7" i="2"/>
  <c r="H255" i="2"/>
  <c r="E6" i="2"/>
  <c r="D254" i="2"/>
  <c r="I6" i="2"/>
  <c r="D4" i="4" s="1"/>
  <c r="H254" i="2"/>
  <c r="H252" i="2"/>
  <c r="E260" i="2"/>
  <c r="C46" i="4" s="1"/>
  <c r="I49" i="5" s="1"/>
  <c r="I260" i="2"/>
  <c r="D46" i="4" s="1"/>
  <c r="J49" i="5" s="1"/>
  <c r="I269" i="2"/>
  <c r="D50" i="4" s="1"/>
  <c r="J53" i="5" s="1"/>
  <c r="E269" i="2"/>
  <c r="F267" i="2" s="1"/>
  <c r="I238" i="2"/>
  <c r="E238" i="2"/>
  <c r="D50" i="2"/>
  <c r="E50" i="2" s="1"/>
  <c r="E15" i="2"/>
  <c r="E14" i="2"/>
  <c r="C8" i="4" s="1"/>
  <c r="I15" i="2"/>
  <c r="H50" i="2"/>
  <c r="I50" i="2" s="1"/>
  <c r="I14" i="2"/>
  <c r="D8" i="4" s="1"/>
  <c r="H49" i="2"/>
  <c r="H48" i="2"/>
  <c r="D49" i="2"/>
  <c r="E49" i="2" s="1"/>
  <c r="D13" i="2"/>
  <c r="D250" i="1"/>
  <c r="C39" i="3" s="1"/>
  <c r="D40" i="5" s="1"/>
  <c r="N40" i="5" s="1"/>
  <c r="D251" i="1"/>
  <c r="E251" i="1" s="1"/>
  <c r="D252" i="1"/>
  <c r="E252" i="1" s="1"/>
  <c r="J247" i="1"/>
  <c r="F247" i="1"/>
  <c r="R247" i="1"/>
  <c r="J250" i="1"/>
  <c r="D48" i="2"/>
  <c r="C11" i="4" s="1"/>
  <c r="I14" i="5" s="1"/>
  <c r="N14" i="5" s="1"/>
  <c r="D211" i="2"/>
  <c r="H211" i="2"/>
  <c r="F225" i="2"/>
  <c r="F84" i="2"/>
  <c r="J228" i="2"/>
  <c r="J106" i="2"/>
  <c r="F63" i="2"/>
  <c r="J97" i="2"/>
  <c r="F136" i="2"/>
  <c r="J17" i="2"/>
  <c r="D270" i="2"/>
  <c r="J231" i="2"/>
  <c r="J215" i="2"/>
  <c r="F133" i="2"/>
  <c r="F121" i="2"/>
  <c r="J81" i="2"/>
  <c r="F78" i="2"/>
  <c r="J66" i="2"/>
  <c r="F52" i="2"/>
  <c r="F21" i="2"/>
  <c r="F249" i="2"/>
  <c r="J225" i="2"/>
  <c r="J219" i="2"/>
  <c r="F142" i="2"/>
  <c r="J139" i="2"/>
  <c r="J124" i="2"/>
  <c r="F110" i="2"/>
  <c r="J21" i="2"/>
  <c r="F168" i="2"/>
  <c r="F159" i="2"/>
  <c r="F194" i="2"/>
  <c r="J39" i="2"/>
  <c r="J182" i="2"/>
  <c r="J194" i="2"/>
  <c r="J100" i="2"/>
  <c r="J24" i="2"/>
  <c r="F215" i="2"/>
  <c r="J178" i="2"/>
  <c r="F93" i="2"/>
  <c r="F72" i="2"/>
  <c r="J222" i="2"/>
  <c r="F81" i="2"/>
  <c r="J45" i="2"/>
  <c r="J27" i="2"/>
  <c r="J190" i="2"/>
  <c r="J103" i="2"/>
  <c r="F75" i="2"/>
  <c r="F190" i="2"/>
  <c r="F139" i="2"/>
  <c r="J206" i="2"/>
  <c r="F148" i="2"/>
  <c r="F231" i="2"/>
  <c r="F127" i="2"/>
  <c r="F69" i="2"/>
  <c r="F33" i="2"/>
  <c r="J280" i="2"/>
  <c r="J263" i="2"/>
  <c r="F198" i="2"/>
  <c r="F178" i="2"/>
  <c r="J168" i="2"/>
  <c r="J159" i="2"/>
  <c r="J148" i="2"/>
  <c r="J118" i="2"/>
  <c r="F100" i="2"/>
  <c r="J90" i="2"/>
  <c r="J60" i="2"/>
  <c r="F42" i="2"/>
  <c r="J33" i="2"/>
  <c r="J198" i="2"/>
  <c r="F171" i="2"/>
  <c r="F162" i="2"/>
  <c r="F152" i="2"/>
  <c r="J133" i="2"/>
  <c r="J75" i="2"/>
  <c r="J42" i="2"/>
  <c r="F24" i="2"/>
  <c r="J142" i="2"/>
  <c r="J110" i="2"/>
  <c r="J84" i="2"/>
  <c r="J52" i="2"/>
  <c r="J249" i="2"/>
  <c r="F219" i="2"/>
  <c r="F145" i="2"/>
  <c r="J127" i="2"/>
  <c r="F114" i="2"/>
  <c r="F87" i="2"/>
  <c r="J69" i="2"/>
  <c r="F56" i="2"/>
  <c r="F36" i="2"/>
  <c r="F186" i="2"/>
  <c r="J171" i="2"/>
  <c r="J162" i="2"/>
  <c r="J152" i="2"/>
  <c r="F130" i="2"/>
  <c r="F103" i="2"/>
  <c r="F45" i="2"/>
  <c r="J36" i="2"/>
  <c r="F27" i="2"/>
  <c r="F202" i="2"/>
  <c r="J186" i="2"/>
  <c r="F165" i="2"/>
  <c r="F156" i="2"/>
  <c r="J121" i="2"/>
  <c r="J93" i="2"/>
  <c r="J78" i="2"/>
  <c r="J63" i="2"/>
  <c r="F228" i="2"/>
  <c r="J202" i="2"/>
  <c r="F206" i="2"/>
  <c r="J136" i="2"/>
  <c r="F124" i="2"/>
  <c r="F66" i="2"/>
  <c r="F174" i="2"/>
  <c r="J145" i="2"/>
  <c r="J114" i="2"/>
  <c r="J87" i="2"/>
  <c r="J56" i="2"/>
  <c r="F30" i="2"/>
  <c r="F17" i="2"/>
  <c r="F222" i="2"/>
  <c r="F182" i="2"/>
  <c r="J174" i="2"/>
  <c r="J165" i="2"/>
  <c r="J156" i="2"/>
  <c r="J130" i="2"/>
  <c r="F118" i="2"/>
  <c r="F106" i="2"/>
  <c r="F97" i="2"/>
  <c r="F90" i="2"/>
  <c r="J72" i="2"/>
  <c r="F60" i="2"/>
  <c r="F39" i="2"/>
  <c r="J30" i="2"/>
  <c r="D21" i="1"/>
  <c r="C11" i="3" s="1"/>
  <c r="D12" i="5" s="1"/>
  <c r="N12" i="5" s="1"/>
  <c r="C40" i="3" l="1"/>
  <c r="D41" i="5" s="1"/>
  <c r="C4" i="4"/>
  <c r="I5" i="5" s="1"/>
  <c r="I284" i="2"/>
  <c r="D52" i="4"/>
  <c r="J55" i="5" s="1"/>
  <c r="F263" i="2"/>
  <c r="C48" i="4"/>
  <c r="I51" i="5" s="1"/>
  <c r="F237" i="2"/>
  <c r="C38" i="4"/>
  <c r="I41" i="5" s="1"/>
  <c r="J237" i="2"/>
  <c r="D38" i="4"/>
  <c r="J41" i="5" s="1"/>
  <c r="O41" i="5" s="1"/>
  <c r="C7" i="4"/>
  <c r="I10" i="5" s="1"/>
  <c r="C50" i="4"/>
  <c r="I53" i="5" s="1"/>
  <c r="C12" i="4"/>
  <c r="I15" i="5" s="1"/>
  <c r="N15" i="5" s="1"/>
  <c r="D11" i="4"/>
  <c r="J14" i="5" s="1"/>
  <c r="O14" i="5" s="1"/>
  <c r="K57" i="5"/>
  <c r="P57" i="5" s="1"/>
  <c r="J57" i="5"/>
  <c r="E255" i="2"/>
  <c r="K11" i="5"/>
  <c r="P11" i="5" s="1"/>
  <c r="J11" i="5"/>
  <c r="J50" i="5"/>
  <c r="K50" i="5"/>
  <c r="P50" i="5" s="1"/>
  <c r="J5" i="5"/>
  <c r="I11" i="5"/>
  <c r="K56" i="5"/>
  <c r="P56" i="5" s="1"/>
  <c r="J56" i="5"/>
  <c r="F283" i="2"/>
  <c r="F5" i="2"/>
  <c r="F259" i="2"/>
  <c r="E271" i="2"/>
  <c r="I285" i="2"/>
  <c r="I289" i="2" s="1"/>
  <c r="J5" i="2"/>
  <c r="E272" i="2"/>
  <c r="E254" i="2"/>
  <c r="I272" i="2"/>
  <c r="E289" i="2"/>
  <c r="F280" i="2"/>
  <c r="J259" i="2"/>
  <c r="I271" i="2"/>
  <c r="H286" i="2"/>
  <c r="J276" i="2"/>
  <c r="E288" i="2"/>
  <c r="I288" i="2"/>
  <c r="D252" i="2"/>
  <c r="I254" i="2"/>
  <c r="I255" i="2"/>
  <c r="J267" i="2"/>
  <c r="J13" i="2"/>
  <c r="I49" i="2"/>
  <c r="D12" i="4" s="1"/>
  <c r="J15" i="5" s="1"/>
  <c r="O15" i="5" s="1"/>
  <c r="E211" i="2"/>
  <c r="C34" i="4" s="1"/>
  <c r="I211" i="2"/>
  <c r="D34" i="4" s="1"/>
  <c r="J37" i="5" s="1"/>
  <c r="F13" i="2"/>
  <c r="F250" i="1"/>
  <c r="F48" i="2"/>
  <c r="D17" i="1"/>
  <c r="C9" i="3" s="1"/>
  <c r="D10" i="5" s="1"/>
  <c r="D18" i="1"/>
  <c r="E18" i="1" s="1"/>
  <c r="D19" i="1"/>
  <c r="D5" i="1"/>
  <c r="C3" i="3" s="1"/>
  <c r="D4" i="5" s="1"/>
  <c r="N4" i="5" s="1"/>
  <c r="D6" i="1"/>
  <c r="D7" i="1"/>
  <c r="D22" i="1"/>
  <c r="D23" i="1"/>
  <c r="D25" i="1"/>
  <c r="D26" i="1"/>
  <c r="D27" i="1"/>
  <c r="D28" i="1"/>
  <c r="D29" i="1"/>
  <c r="D30" i="1"/>
  <c r="D31" i="1"/>
  <c r="D32" i="1"/>
  <c r="D33" i="1"/>
  <c r="D35" i="1"/>
  <c r="E35" i="1" s="1"/>
  <c r="D36" i="1"/>
  <c r="E36" i="1" s="1"/>
  <c r="D37" i="1"/>
  <c r="D38" i="1"/>
  <c r="E38" i="1" s="1"/>
  <c r="D39" i="1"/>
  <c r="E39" i="1" s="1"/>
  <c r="D40" i="1"/>
  <c r="D41" i="1"/>
  <c r="E41" i="1" s="1"/>
  <c r="D42" i="1"/>
  <c r="E42" i="1" s="1"/>
  <c r="D43" i="1"/>
  <c r="D45" i="1"/>
  <c r="E45" i="1" s="1"/>
  <c r="D46" i="1"/>
  <c r="D47" i="1"/>
  <c r="E47" i="1" s="1"/>
  <c r="D48" i="1"/>
  <c r="E48" i="1" s="1"/>
  <c r="D49" i="1"/>
  <c r="D50" i="1"/>
  <c r="E50" i="1" s="1"/>
  <c r="D51" i="1"/>
  <c r="E51" i="1" s="1"/>
  <c r="D56" i="1"/>
  <c r="C15" i="3" s="1"/>
  <c r="D16" i="5" s="1"/>
  <c r="N16" i="5" s="1"/>
  <c r="D57" i="1"/>
  <c r="E57" i="1" s="1"/>
  <c r="D58" i="1"/>
  <c r="E58" i="1" s="1"/>
  <c r="D60" i="1"/>
  <c r="C17" i="3" s="1"/>
  <c r="D18" i="5" s="1"/>
  <c r="N18" i="5" s="1"/>
  <c r="D61" i="1"/>
  <c r="D62" i="1"/>
  <c r="E62" i="1" s="1"/>
  <c r="D65" i="1"/>
  <c r="E65" i="1" s="1"/>
  <c r="D66" i="1"/>
  <c r="E66" i="1" s="1"/>
  <c r="D67" i="1"/>
  <c r="D68" i="1"/>
  <c r="E68" i="1" s="1"/>
  <c r="D69" i="1"/>
  <c r="E69" i="1" s="1"/>
  <c r="D70" i="1"/>
  <c r="D71" i="1"/>
  <c r="E71" i="1" s="1"/>
  <c r="D72" i="1"/>
  <c r="E72" i="1" s="1"/>
  <c r="D73" i="1"/>
  <c r="D75" i="1"/>
  <c r="E75" i="1" s="1"/>
  <c r="D76" i="1"/>
  <c r="D77" i="1"/>
  <c r="E77" i="1" s="1"/>
  <c r="D78" i="1"/>
  <c r="E78" i="1" s="1"/>
  <c r="D79" i="1"/>
  <c r="D80" i="1"/>
  <c r="E80" i="1" s="1"/>
  <c r="D81" i="1"/>
  <c r="E81" i="1" s="1"/>
  <c r="D82" i="1"/>
  <c r="D83" i="1"/>
  <c r="E83" i="1" s="1"/>
  <c r="D88" i="1"/>
  <c r="D89" i="1"/>
  <c r="E89" i="1" s="1"/>
  <c r="D90" i="1"/>
  <c r="E90" i="1" s="1"/>
  <c r="D91" i="1"/>
  <c r="D92" i="1"/>
  <c r="E92" i="1" s="1"/>
  <c r="D93" i="1"/>
  <c r="E93" i="1" s="1"/>
  <c r="D94" i="1"/>
  <c r="D95" i="1"/>
  <c r="E95" i="1" s="1"/>
  <c r="D96" i="1"/>
  <c r="E96" i="1" s="1"/>
  <c r="D98" i="1"/>
  <c r="E98" i="1" s="1"/>
  <c r="D99" i="1"/>
  <c r="E99" i="1" s="1"/>
  <c r="D104" i="1"/>
  <c r="D105" i="1"/>
  <c r="E105" i="1" s="1"/>
  <c r="D106" i="1"/>
  <c r="E106" i="1" s="1"/>
  <c r="D118" i="1"/>
  <c r="E118" i="1" s="1"/>
  <c r="D119" i="1"/>
  <c r="E119" i="1" s="1"/>
  <c r="D121" i="1"/>
  <c r="C25" i="3" s="1"/>
  <c r="D26" i="5" s="1"/>
  <c r="N26" i="5" s="1"/>
  <c r="D122" i="1"/>
  <c r="E122" i="1" s="1"/>
  <c r="D123" i="1"/>
  <c r="E123" i="1" s="1"/>
  <c r="D125" i="1"/>
  <c r="D126" i="1"/>
  <c r="E126" i="1" s="1"/>
  <c r="D128" i="1"/>
  <c r="D129" i="1"/>
  <c r="E129" i="1" s="1"/>
  <c r="D130" i="1"/>
  <c r="E130" i="1" s="1"/>
  <c r="D131" i="1"/>
  <c r="D132" i="1"/>
  <c r="E132" i="1" s="1"/>
  <c r="D133" i="1"/>
  <c r="E133" i="1" s="1"/>
  <c r="D134" i="1"/>
  <c r="D135" i="1"/>
  <c r="E135" i="1" s="1"/>
  <c r="D136" i="1"/>
  <c r="E136" i="1" s="1"/>
  <c r="D138" i="1"/>
  <c r="E138" i="1" s="1"/>
  <c r="D139" i="1"/>
  <c r="E139" i="1" s="1"/>
  <c r="D140" i="1"/>
  <c r="D141" i="1"/>
  <c r="E141" i="1" s="1"/>
  <c r="D142" i="1"/>
  <c r="E142" i="1" s="1"/>
  <c r="D143" i="1"/>
  <c r="D144" i="1"/>
  <c r="E144" i="1" s="1"/>
  <c r="D145" i="1"/>
  <c r="E145" i="1" s="1"/>
  <c r="D146" i="1"/>
  <c r="D148" i="1"/>
  <c r="E148" i="1" s="1"/>
  <c r="D149" i="1"/>
  <c r="D150" i="1"/>
  <c r="E150" i="1" s="1"/>
  <c r="D151" i="1"/>
  <c r="E151" i="1" s="1"/>
  <c r="D152" i="1"/>
  <c r="D153" i="1"/>
  <c r="E153" i="1" s="1"/>
  <c r="D154" i="1"/>
  <c r="E154" i="1" s="1"/>
  <c r="D158" i="1"/>
  <c r="C27" i="3" s="1"/>
  <c r="D28" i="5" s="1"/>
  <c r="N28" i="5" s="1"/>
  <c r="D159" i="1"/>
  <c r="E159" i="1" s="1"/>
  <c r="D162" i="1"/>
  <c r="C29" i="3" s="1"/>
  <c r="D30" i="5" s="1"/>
  <c r="N30" i="5" s="1"/>
  <c r="D163" i="1"/>
  <c r="E163" i="1" s="1"/>
  <c r="D164" i="1"/>
  <c r="E164" i="1" s="1"/>
  <c r="D166" i="1"/>
  <c r="D167" i="1"/>
  <c r="E167" i="1" s="1"/>
  <c r="D168" i="1"/>
  <c r="E168" i="1" s="1"/>
  <c r="D169" i="1"/>
  <c r="D171" i="1"/>
  <c r="E171" i="1" s="1"/>
  <c r="D172" i="1"/>
  <c r="D173" i="1"/>
  <c r="E173" i="1" s="1"/>
  <c r="D174" i="1"/>
  <c r="E174" i="1" s="1"/>
  <c r="D175" i="1"/>
  <c r="D176" i="1"/>
  <c r="E176" i="1" s="1"/>
  <c r="D177" i="1"/>
  <c r="E177" i="1" s="1"/>
  <c r="D178" i="1"/>
  <c r="D179" i="1"/>
  <c r="E179" i="1" s="1"/>
  <c r="D181" i="1"/>
  <c r="D182" i="1"/>
  <c r="E182" i="1" s="1"/>
  <c r="D183" i="1"/>
  <c r="E183" i="1" s="1"/>
  <c r="D184" i="1"/>
  <c r="C31" i="3" s="1"/>
  <c r="D32" i="5" s="1"/>
  <c r="N32" i="5" s="1"/>
  <c r="D185" i="1"/>
  <c r="E185" i="1" s="1"/>
  <c r="D186" i="1"/>
  <c r="E186" i="1" s="1"/>
  <c r="D188" i="1"/>
  <c r="C33" i="3" s="1"/>
  <c r="D34" i="5" s="1"/>
  <c r="N34" i="5" s="1"/>
  <c r="D189" i="1"/>
  <c r="E189" i="1" s="1"/>
  <c r="C34" i="3" s="1"/>
  <c r="D35" i="5" s="1"/>
  <c r="N35" i="5" s="1"/>
  <c r="E197" i="1"/>
  <c r="E198" i="1"/>
  <c r="E199" i="1"/>
  <c r="E217" i="1"/>
  <c r="E218" i="1"/>
  <c r="E219" i="1"/>
  <c r="E205" i="1"/>
  <c r="E206" i="1"/>
  <c r="E207" i="1"/>
  <c r="E209" i="1"/>
  <c r="E210" i="1"/>
  <c r="E211" i="1"/>
  <c r="E201" i="1"/>
  <c r="F200" i="1" s="1"/>
  <c r="D221" i="1"/>
  <c r="D266" i="1" s="1"/>
  <c r="D300" i="1" s="1"/>
  <c r="D222" i="1"/>
  <c r="E222" i="1" s="1"/>
  <c r="D223" i="1"/>
  <c r="E223" i="1" s="1"/>
  <c r="D225" i="1"/>
  <c r="C37" i="3" s="1"/>
  <c r="D38" i="5" s="1"/>
  <c r="N38" i="5" s="1"/>
  <c r="D226" i="1"/>
  <c r="E226" i="1" s="1"/>
  <c r="D227" i="1"/>
  <c r="E227" i="1" s="1"/>
  <c r="D229" i="1"/>
  <c r="D231" i="1"/>
  <c r="E231" i="1" s="1"/>
  <c r="D232" i="1"/>
  <c r="D233" i="1"/>
  <c r="E233" i="1" s="1"/>
  <c r="D234" i="1"/>
  <c r="E234" i="1" s="1"/>
  <c r="D235" i="1"/>
  <c r="D236" i="1"/>
  <c r="E236" i="1" s="1"/>
  <c r="D237" i="1"/>
  <c r="E237" i="1" s="1"/>
  <c r="D241" i="1"/>
  <c r="D242" i="1"/>
  <c r="E242" i="1" s="1"/>
  <c r="D244" i="1"/>
  <c r="D245" i="1"/>
  <c r="E245" i="1" s="1"/>
  <c r="D246" i="1"/>
  <c r="E246" i="1" s="1"/>
  <c r="D254" i="1"/>
  <c r="C41" i="3" s="1"/>
  <c r="D42" i="5" s="1"/>
  <c r="N42" i="5" s="1"/>
  <c r="D255" i="1"/>
  <c r="E255" i="1" s="1"/>
  <c r="D256" i="1"/>
  <c r="E256" i="1" s="1"/>
  <c r="D258" i="1"/>
  <c r="C43" i="3" s="1"/>
  <c r="D44" i="5" s="1"/>
  <c r="N44" i="5" s="1"/>
  <c r="D259" i="1"/>
  <c r="E259" i="1" s="1"/>
  <c r="D260" i="1"/>
  <c r="E260" i="1" s="1"/>
  <c r="D262" i="1"/>
  <c r="C45" i="3" s="1"/>
  <c r="D46" i="5" s="1"/>
  <c r="N46" i="5" s="1"/>
  <c r="D263" i="1"/>
  <c r="E263" i="1" s="1"/>
  <c r="D264" i="1"/>
  <c r="E264" i="1" s="1"/>
  <c r="D272" i="1"/>
  <c r="C47" i="3" s="1"/>
  <c r="D48" i="5" s="1"/>
  <c r="N48" i="5" s="1"/>
  <c r="D273" i="1"/>
  <c r="D274" i="1"/>
  <c r="D276" i="1"/>
  <c r="C49" i="3" s="1"/>
  <c r="D50" i="5" s="1"/>
  <c r="N50" i="5" s="1"/>
  <c r="D277" i="1"/>
  <c r="E277" i="1" s="1"/>
  <c r="D278" i="1"/>
  <c r="E278" i="1" s="1"/>
  <c r="D280" i="1"/>
  <c r="C51" i="3" s="1"/>
  <c r="D52" i="5" s="1"/>
  <c r="N52" i="5" s="1"/>
  <c r="D281" i="1"/>
  <c r="E281" i="1" s="1"/>
  <c r="D282" i="1"/>
  <c r="E282" i="1" s="1"/>
  <c r="D289" i="1"/>
  <c r="C53" i="3" s="1"/>
  <c r="D54" i="5" s="1"/>
  <c r="N54" i="5" s="1"/>
  <c r="D290" i="1"/>
  <c r="D291" i="1"/>
  <c r="D298" i="1" s="1"/>
  <c r="D293" i="1"/>
  <c r="C55" i="3" s="1"/>
  <c r="D56" i="5" s="1"/>
  <c r="N56" i="5" s="1"/>
  <c r="D294" i="1"/>
  <c r="E294" i="1" s="1"/>
  <c r="C56" i="3" s="1"/>
  <c r="D57" i="5" s="1"/>
  <c r="N57" i="5" s="1"/>
  <c r="D297" i="1" l="1"/>
  <c r="C30" i="3"/>
  <c r="D31" i="5" s="1"/>
  <c r="N31" i="5" s="1"/>
  <c r="C16" i="3"/>
  <c r="D17" i="5" s="1"/>
  <c r="N17" i="5" s="1"/>
  <c r="C38" i="3"/>
  <c r="D39" i="5" s="1"/>
  <c r="N39" i="5" s="1"/>
  <c r="N41" i="5"/>
  <c r="N10" i="5"/>
  <c r="D55" i="4"/>
  <c r="I37" i="5"/>
  <c r="C55" i="4"/>
  <c r="K5" i="5"/>
  <c r="P5" i="5" s="1"/>
  <c r="J270" i="2"/>
  <c r="J286" i="2"/>
  <c r="K36" i="5"/>
  <c r="P36" i="5" s="1"/>
  <c r="J36" i="5"/>
  <c r="C50" i="3"/>
  <c r="D51" i="5" s="1"/>
  <c r="N51" i="5" s="1"/>
  <c r="C32" i="3"/>
  <c r="D33" i="5" s="1"/>
  <c r="N33" i="5" s="1"/>
  <c r="C26" i="3"/>
  <c r="D27" i="5" s="1"/>
  <c r="N27" i="5" s="1"/>
  <c r="C46" i="3"/>
  <c r="D47" i="5" s="1"/>
  <c r="N47" i="5" s="1"/>
  <c r="C24" i="3"/>
  <c r="D25" i="5" s="1"/>
  <c r="N25" i="5" s="1"/>
  <c r="C52" i="3"/>
  <c r="D53" i="5" s="1"/>
  <c r="N53" i="5" s="1"/>
  <c r="C44" i="3"/>
  <c r="D45" i="5" s="1"/>
  <c r="N45" i="5" s="1"/>
  <c r="C42" i="3"/>
  <c r="D43" i="5" s="1"/>
  <c r="N43" i="5" s="1"/>
  <c r="F270" i="2"/>
  <c r="D296" i="1"/>
  <c r="E274" i="1"/>
  <c r="E285" i="1" s="1"/>
  <c r="D285" i="1"/>
  <c r="E273" i="1"/>
  <c r="D284" i="1"/>
  <c r="D283" i="1"/>
  <c r="D265" i="1"/>
  <c r="D299" i="1" s="1"/>
  <c r="J283" i="2"/>
  <c r="D286" i="2"/>
  <c r="F286" i="2" s="1"/>
  <c r="F252" i="2"/>
  <c r="J48" i="2"/>
  <c r="E290" i="1"/>
  <c r="F137" i="1"/>
  <c r="F210" i="2"/>
  <c r="J210" i="2"/>
  <c r="D100" i="1"/>
  <c r="C19" i="3" s="1"/>
  <c r="D20" i="5" s="1"/>
  <c r="N20" i="5" s="1"/>
  <c r="D101" i="1"/>
  <c r="D102" i="1"/>
  <c r="F82" i="1"/>
  <c r="F241" i="1"/>
  <c r="F178" i="1"/>
  <c r="F188" i="1"/>
  <c r="F64" i="1"/>
  <c r="D160" i="1"/>
  <c r="E160" i="1" s="1"/>
  <c r="F158" i="1" s="1"/>
  <c r="D115" i="1"/>
  <c r="E115" i="1" s="1"/>
  <c r="F97" i="1"/>
  <c r="D114" i="1"/>
  <c r="E114" i="1" s="1"/>
  <c r="F34" i="1"/>
  <c r="D113" i="1"/>
  <c r="C21" i="3" s="1"/>
  <c r="D22" i="5" s="1"/>
  <c r="N22" i="5" s="1"/>
  <c r="F229" i="1"/>
  <c r="F146" i="1"/>
  <c r="D220" i="1"/>
  <c r="C35" i="3" s="1"/>
  <c r="D36" i="5" s="1"/>
  <c r="N36" i="5" s="1"/>
  <c r="P220" i="1"/>
  <c r="F35" i="3" s="1"/>
  <c r="G36" i="5" s="1"/>
  <c r="F117" i="1"/>
  <c r="F204" i="1"/>
  <c r="F169" i="1"/>
  <c r="F125" i="1"/>
  <c r="F73" i="1"/>
  <c r="F43" i="1"/>
  <c r="F293" i="1"/>
  <c r="E30" i="1"/>
  <c r="E29" i="1"/>
  <c r="E26" i="1"/>
  <c r="E27" i="1"/>
  <c r="E23" i="1"/>
  <c r="E22" i="1"/>
  <c r="E7" i="1"/>
  <c r="E33" i="1"/>
  <c r="E6" i="1"/>
  <c r="E32" i="1"/>
  <c r="E19" i="1"/>
  <c r="C10" i="3" s="1"/>
  <c r="D11" i="5" s="1"/>
  <c r="N11" i="5" s="1"/>
  <c r="F70" i="1"/>
  <c r="F181" i="1"/>
  <c r="F276" i="1"/>
  <c r="F235" i="1"/>
  <c r="E221" i="1"/>
  <c r="C36" i="3" s="1"/>
  <c r="D37" i="5" s="1"/>
  <c r="F40" i="1"/>
  <c r="F140" i="1"/>
  <c r="F208" i="1"/>
  <c r="F131" i="1"/>
  <c r="F76" i="1"/>
  <c r="F49" i="1"/>
  <c r="F175" i="1"/>
  <c r="F88" i="1"/>
  <c r="F166" i="1"/>
  <c r="F162" i="1"/>
  <c r="F152" i="1"/>
  <c r="F121" i="1"/>
  <c r="F254" i="1"/>
  <c r="F172" i="1"/>
  <c r="F104" i="1"/>
  <c r="F280" i="1"/>
  <c r="F225" i="1"/>
  <c r="F46" i="1"/>
  <c r="F262" i="1"/>
  <c r="E61" i="1"/>
  <c r="C18" i="3" s="1"/>
  <c r="D19" i="5" s="1"/>
  <c r="N19" i="5" s="1"/>
  <c r="F149" i="1"/>
  <c r="F196" i="1"/>
  <c r="F128" i="1"/>
  <c r="F232" i="1"/>
  <c r="F94" i="1"/>
  <c r="F244" i="1"/>
  <c r="F79" i="1"/>
  <c r="F258" i="1"/>
  <c r="F134" i="1"/>
  <c r="F91" i="1"/>
  <c r="F56" i="1"/>
  <c r="F184" i="1"/>
  <c r="F143" i="1"/>
  <c r="F67" i="1"/>
  <c r="F216" i="1"/>
  <c r="F37" i="1"/>
  <c r="E291" i="1"/>
  <c r="E298" i="1" s="1"/>
  <c r="N37" i="5" l="1"/>
  <c r="C4" i="3"/>
  <c r="D5" i="5" s="1"/>
  <c r="N5" i="5" s="1"/>
  <c r="C54" i="3"/>
  <c r="D55" i="5" s="1"/>
  <c r="N55" i="5" s="1"/>
  <c r="O36" i="5"/>
  <c r="C12" i="3"/>
  <c r="D13" i="5" s="1"/>
  <c r="N13" i="5" s="1"/>
  <c r="C28" i="3"/>
  <c r="D29" i="5" s="1"/>
  <c r="N29" i="5" s="1"/>
  <c r="F272" i="1"/>
  <c r="C48" i="3"/>
  <c r="D49" i="5" s="1"/>
  <c r="N49" i="5" s="1"/>
  <c r="C22" i="3"/>
  <c r="D23" i="5" s="1"/>
  <c r="N23" i="5" s="1"/>
  <c r="E297" i="1"/>
  <c r="F296" i="1" s="1"/>
  <c r="E284" i="1"/>
  <c r="F283" i="1" s="1"/>
  <c r="E102" i="1"/>
  <c r="E268" i="1" s="1"/>
  <c r="E302" i="1" s="1"/>
  <c r="D268" i="1"/>
  <c r="D302" i="1" s="1"/>
  <c r="E266" i="1"/>
  <c r="E300" i="1" s="1"/>
  <c r="E101" i="1"/>
  <c r="D267" i="1"/>
  <c r="D301" i="1" s="1"/>
  <c r="J252" i="2"/>
  <c r="F25" i="1"/>
  <c r="F28" i="1"/>
  <c r="F113" i="1"/>
  <c r="F220" i="1"/>
  <c r="F5" i="1"/>
  <c r="F17" i="1"/>
  <c r="F21" i="1"/>
  <c r="F31" i="1"/>
  <c r="F60" i="1"/>
  <c r="F289" i="1"/>
  <c r="C20" i="3" l="1"/>
  <c r="D21" i="5" s="1"/>
  <c r="N21" i="5" s="1"/>
  <c r="F100" i="1"/>
  <c r="E267" i="1"/>
  <c r="C57" i="3" l="1"/>
  <c r="F265" i="1"/>
  <c r="E301" i="1"/>
  <c r="F299" i="1" s="1"/>
  <c r="H23" i="1"/>
  <c r="H22" i="1"/>
  <c r="H21" i="1"/>
  <c r="D11" i="3" s="1"/>
  <c r="E12" i="5" s="1"/>
  <c r="O12" i="5" s="1"/>
  <c r="I22" i="1" l="1"/>
  <c r="I23" i="1"/>
  <c r="D12" i="3" l="1"/>
  <c r="E13" i="5" s="1"/>
  <c r="O13" i="5" s="1"/>
  <c r="H113" i="1"/>
  <c r="D21" i="3" s="1"/>
  <c r="E22" i="5" s="1"/>
  <c r="O22" i="5" s="1"/>
  <c r="P113" i="1"/>
  <c r="F21" i="3" s="1"/>
  <c r="G22" i="5" s="1"/>
  <c r="H115" i="1"/>
  <c r="I115" i="1" s="1"/>
  <c r="P115" i="1"/>
  <c r="Q115" i="1" s="1"/>
  <c r="H114" i="1"/>
  <c r="I114" i="1" s="1"/>
  <c r="P114" i="1"/>
  <c r="Q114" i="1" s="1"/>
  <c r="F22" i="3" s="1"/>
  <c r="G23" i="5" s="1"/>
  <c r="H160" i="1"/>
  <c r="I160" i="1" s="1"/>
  <c r="P160" i="1"/>
  <c r="Q160" i="1" s="1"/>
  <c r="D22" i="3" l="1"/>
  <c r="E23" i="5" s="1"/>
  <c r="O23" i="5" s="1"/>
  <c r="R113" i="1"/>
  <c r="J113" i="1"/>
  <c r="H174" i="1"/>
  <c r="H175" i="1"/>
  <c r="H178" i="1"/>
  <c r="H179" i="1"/>
  <c r="H181" i="1"/>
  <c r="H182" i="1"/>
  <c r="H88" i="1"/>
  <c r="H89" i="1"/>
  <c r="I89" i="1" s="1"/>
  <c r="H90" i="1"/>
  <c r="I90" i="1" s="1"/>
  <c r="H91" i="1"/>
  <c r="H92" i="1"/>
  <c r="I92" i="1" s="1"/>
  <c r="H93" i="1"/>
  <c r="I93" i="1" s="1"/>
  <c r="H94" i="1"/>
  <c r="H17" i="1"/>
  <c r="D9" i="3" s="1"/>
  <c r="E10" i="5" s="1"/>
  <c r="O10" i="5" s="1"/>
  <c r="H5" i="1"/>
  <c r="D3" i="3" l="1"/>
  <c r="E4" i="5" s="1"/>
  <c r="O4" i="5" s="1"/>
  <c r="J91" i="1"/>
  <c r="J88" i="1"/>
  <c r="R57" i="5" l="1"/>
  <c r="R55" i="5"/>
  <c r="R53" i="5"/>
  <c r="R51" i="5"/>
  <c r="R49" i="5"/>
  <c r="R47" i="5"/>
  <c r="R45" i="5"/>
  <c r="R43" i="5"/>
  <c r="R41" i="5"/>
  <c r="R39" i="5"/>
  <c r="R37" i="5"/>
  <c r="R35" i="5"/>
  <c r="R33" i="5"/>
  <c r="R31" i="5"/>
  <c r="R29" i="5"/>
  <c r="R27" i="5"/>
  <c r="R25" i="5"/>
  <c r="R23" i="5"/>
  <c r="R21" i="5"/>
  <c r="R19" i="5"/>
  <c r="R17" i="5"/>
  <c r="R15" i="5"/>
  <c r="R13" i="5"/>
  <c r="R5" i="5"/>
  <c r="R11" i="5"/>
  <c r="P282" i="2"/>
  <c r="Q282" i="2" s="1"/>
  <c r="P281" i="2"/>
  <c r="Q281" i="2" s="1"/>
  <c r="P280" i="2"/>
  <c r="P278" i="2"/>
  <c r="P285" i="2" s="1"/>
  <c r="P269" i="2"/>
  <c r="P268" i="2"/>
  <c r="Q268" i="2" s="1"/>
  <c r="P267" i="2"/>
  <c r="P265" i="2"/>
  <c r="Q265" i="2" s="1"/>
  <c r="F50" i="4" s="1"/>
  <c r="L53" i="5" s="1"/>
  <c r="P264" i="2"/>
  <c r="F49" i="4" s="1"/>
  <c r="L52" i="5" s="1"/>
  <c r="P263" i="2"/>
  <c r="P259" i="2"/>
  <c r="P251" i="2"/>
  <c r="Q251" i="2" s="1"/>
  <c r="P250" i="2"/>
  <c r="Q250" i="2" s="1"/>
  <c r="P249" i="2"/>
  <c r="P237" i="2"/>
  <c r="P233" i="2"/>
  <c r="Q233" i="2" s="1"/>
  <c r="P232" i="2"/>
  <c r="Q232" i="2" s="1"/>
  <c r="P231" i="2"/>
  <c r="P230" i="2"/>
  <c r="Q230" i="2" s="1"/>
  <c r="P229" i="2"/>
  <c r="Q229" i="2" s="1"/>
  <c r="P228" i="2"/>
  <c r="P227" i="2"/>
  <c r="Q227" i="2" s="1"/>
  <c r="P226" i="2"/>
  <c r="Q226" i="2" s="1"/>
  <c r="P225" i="2"/>
  <c r="P224" i="2"/>
  <c r="Q224" i="2" s="1"/>
  <c r="P223" i="2"/>
  <c r="Q223" i="2" s="1"/>
  <c r="P222" i="2"/>
  <c r="P221" i="2"/>
  <c r="Q221" i="2" s="1"/>
  <c r="P220" i="2"/>
  <c r="Q220" i="2" s="1"/>
  <c r="P219" i="2"/>
  <c r="P217" i="2"/>
  <c r="Q217" i="2" s="1"/>
  <c r="P216" i="2"/>
  <c r="Q216" i="2" s="1"/>
  <c r="F36" i="4" s="1"/>
  <c r="L39" i="5" s="1"/>
  <c r="P215" i="2"/>
  <c r="F35" i="4" s="1"/>
  <c r="L38" i="5" s="1"/>
  <c r="P185" i="2"/>
  <c r="Q185" i="2" s="1"/>
  <c r="P184" i="2"/>
  <c r="Q184" i="2" s="1"/>
  <c r="P183" i="2"/>
  <c r="Q183" i="2" s="1"/>
  <c r="P182" i="2"/>
  <c r="P205" i="2"/>
  <c r="Q205" i="2" s="1"/>
  <c r="P204" i="2"/>
  <c r="Q204" i="2" s="1"/>
  <c r="P203" i="2"/>
  <c r="Q203" i="2" s="1"/>
  <c r="P202" i="2"/>
  <c r="P193" i="2"/>
  <c r="Q193" i="2" s="1"/>
  <c r="P192" i="2"/>
  <c r="Q192" i="2" s="1"/>
  <c r="P191" i="2"/>
  <c r="Q191" i="2" s="1"/>
  <c r="P190" i="2"/>
  <c r="P201" i="2"/>
  <c r="Q201" i="2" s="1"/>
  <c r="P200" i="2"/>
  <c r="Q200" i="2" s="1"/>
  <c r="P199" i="2"/>
  <c r="Q199" i="2" s="1"/>
  <c r="P198" i="2"/>
  <c r="P197" i="2"/>
  <c r="Q197" i="2" s="1"/>
  <c r="P196" i="2"/>
  <c r="Q196" i="2" s="1"/>
  <c r="P195" i="2"/>
  <c r="Q195" i="2" s="1"/>
  <c r="P194" i="2"/>
  <c r="P209" i="2"/>
  <c r="Q209" i="2" s="1"/>
  <c r="P208" i="2"/>
  <c r="Q208" i="2" s="1"/>
  <c r="P207" i="2"/>
  <c r="P206" i="2"/>
  <c r="P189" i="2"/>
  <c r="Q189" i="2" s="1"/>
  <c r="P188" i="2"/>
  <c r="Q188" i="2" s="1"/>
  <c r="P187" i="2"/>
  <c r="Q187" i="2" s="1"/>
  <c r="P186" i="2"/>
  <c r="P180" i="2"/>
  <c r="Q180" i="2" s="1"/>
  <c r="P179" i="2"/>
  <c r="Q179" i="2" s="1"/>
  <c r="P178" i="2"/>
  <c r="F31" i="4" s="1"/>
  <c r="L34" i="5" s="1"/>
  <c r="P173" i="2"/>
  <c r="Q173" i="2" s="1"/>
  <c r="P172" i="2"/>
  <c r="Q172" i="2" s="1"/>
  <c r="P171" i="2"/>
  <c r="P170" i="2"/>
  <c r="Q170" i="2" s="1"/>
  <c r="P169" i="2"/>
  <c r="Q169" i="2" s="1"/>
  <c r="P168" i="2"/>
  <c r="P167" i="2"/>
  <c r="Q167" i="2" s="1"/>
  <c r="P166" i="2"/>
  <c r="Q166" i="2" s="1"/>
  <c r="P165" i="2"/>
  <c r="P164" i="2"/>
  <c r="Q164" i="2" s="1"/>
  <c r="P163" i="2"/>
  <c r="Q163" i="2" s="1"/>
  <c r="P162" i="2"/>
  <c r="P161" i="2"/>
  <c r="Q161" i="2" s="1"/>
  <c r="P160" i="2"/>
  <c r="Q160" i="2" s="1"/>
  <c r="P159" i="2"/>
  <c r="P158" i="2"/>
  <c r="Q158" i="2" s="1"/>
  <c r="P157" i="2"/>
  <c r="Q157" i="2" s="1"/>
  <c r="P156" i="2"/>
  <c r="P154" i="2"/>
  <c r="Q154" i="2" s="1"/>
  <c r="P153" i="2"/>
  <c r="Q153" i="2" s="1"/>
  <c r="F28" i="4" s="1"/>
  <c r="L31" i="5" s="1"/>
  <c r="P152" i="2"/>
  <c r="F27" i="4" s="1"/>
  <c r="L30" i="5" s="1"/>
  <c r="P147" i="2"/>
  <c r="Q147" i="2" s="1"/>
  <c r="P146" i="2"/>
  <c r="Q146" i="2" s="1"/>
  <c r="P145" i="2"/>
  <c r="P144" i="2"/>
  <c r="Q144" i="2" s="1"/>
  <c r="P143" i="2"/>
  <c r="Q143" i="2" s="1"/>
  <c r="P142" i="2"/>
  <c r="P141" i="2"/>
  <c r="Q141" i="2" s="1"/>
  <c r="P140" i="2"/>
  <c r="Q140" i="2" s="1"/>
  <c r="P139" i="2"/>
  <c r="P138" i="2"/>
  <c r="Q138" i="2" s="1"/>
  <c r="P137" i="2"/>
  <c r="Q137" i="2" s="1"/>
  <c r="P136" i="2"/>
  <c r="P135" i="2"/>
  <c r="Q135" i="2" s="1"/>
  <c r="P134" i="2"/>
  <c r="Q134" i="2" s="1"/>
  <c r="P133" i="2"/>
  <c r="P132" i="2"/>
  <c r="Q132" i="2" s="1"/>
  <c r="P131" i="2"/>
  <c r="Q131" i="2" s="1"/>
  <c r="P130" i="2"/>
  <c r="P129" i="2"/>
  <c r="Q129" i="2" s="1"/>
  <c r="P128" i="2"/>
  <c r="Q128" i="2" s="1"/>
  <c r="P127" i="2"/>
  <c r="P126" i="2"/>
  <c r="Q126" i="2" s="1"/>
  <c r="P125" i="2"/>
  <c r="Q125" i="2" s="1"/>
  <c r="P124" i="2"/>
  <c r="P123" i="2"/>
  <c r="Q123" i="2" s="1"/>
  <c r="P122" i="2"/>
  <c r="Q122" i="2" s="1"/>
  <c r="P121" i="2"/>
  <c r="P120" i="2"/>
  <c r="Q120" i="2" s="1"/>
  <c r="P119" i="2"/>
  <c r="Q119" i="2" s="1"/>
  <c r="P118" i="2"/>
  <c r="P116" i="2"/>
  <c r="Q116" i="2" s="1"/>
  <c r="P115" i="2"/>
  <c r="Q115" i="2" s="1"/>
  <c r="P114" i="2"/>
  <c r="F23" i="4" s="1"/>
  <c r="L26" i="5" s="1"/>
  <c r="P112" i="2"/>
  <c r="Q112" i="2" s="1"/>
  <c r="P111" i="2"/>
  <c r="Q111" i="2" s="1"/>
  <c r="F22" i="4" s="1"/>
  <c r="L25" i="5" s="1"/>
  <c r="P110" i="2"/>
  <c r="F21" i="4" s="1"/>
  <c r="L24" i="5" s="1"/>
  <c r="P105" i="2"/>
  <c r="Q105" i="2" s="1"/>
  <c r="P104" i="2"/>
  <c r="Q104" i="2" s="1"/>
  <c r="P103" i="2"/>
  <c r="P102" i="2"/>
  <c r="Q102" i="2" s="1"/>
  <c r="P101" i="2"/>
  <c r="Q101" i="2" s="1"/>
  <c r="P100" i="2"/>
  <c r="P99" i="2"/>
  <c r="Q99" i="2" s="1"/>
  <c r="P98" i="2"/>
  <c r="Q98" i="2" s="1"/>
  <c r="P97" i="2"/>
  <c r="P95" i="2"/>
  <c r="Q95" i="2" s="1"/>
  <c r="P92" i="2"/>
  <c r="Q92" i="2" s="1"/>
  <c r="P91" i="2"/>
  <c r="Q91" i="2" s="1"/>
  <c r="P90" i="2"/>
  <c r="P89" i="2"/>
  <c r="Q89" i="2" s="1"/>
  <c r="P88" i="2"/>
  <c r="Q88" i="2" s="1"/>
  <c r="P87" i="2"/>
  <c r="P86" i="2"/>
  <c r="Q86" i="2" s="1"/>
  <c r="P85" i="2"/>
  <c r="Q85" i="2" s="1"/>
  <c r="P84" i="2"/>
  <c r="P83" i="2"/>
  <c r="Q83" i="2" s="1"/>
  <c r="P82" i="2"/>
  <c r="Q82" i="2" s="1"/>
  <c r="P81" i="2"/>
  <c r="P80" i="2"/>
  <c r="Q80" i="2" s="1"/>
  <c r="P79" i="2"/>
  <c r="Q79" i="2" s="1"/>
  <c r="P78" i="2"/>
  <c r="P77" i="2"/>
  <c r="Q77" i="2" s="1"/>
  <c r="P76" i="2"/>
  <c r="Q76" i="2" s="1"/>
  <c r="P75" i="2"/>
  <c r="P74" i="2"/>
  <c r="Q74" i="2" s="1"/>
  <c r="P73" i="2"/>
  <c r="Q73" i="2" s="1"/>
  <c r="P72" i="2"/>
  <c r="P71" i="2"/>
  <c r="Q71" i="2" s="1"/>
  <c r="P70" i="2"/>
  <c r="Q70" i="2" s="1"/>
  <c r="P69" i="2"/>
  <c r="P68" i="2"/>
  <c r="Q68" i="2" s="1"/>
  <c r="P67" i="2"/>
  <c r="Q67" i="2" s="1"/>
  <c r="P66" i="2"/>
  <c r="P65" i="2"/>
  <c r="Q65" i="2" s="1"/>
  <c r="P64" i="2"/>
  <c r="Q64" i="2" s="1"/>
  <c r="P63" i="2"/>
  <c r="P62" i="2"/>
  <c r="Q62" i="2" s="1"/>
  <c r="P61" i="2"/>
  <c r="Q61" i="2" s="1"/>
  <c r="P60" i="2"/>
  <c r="P58" i="2"/>
  <c r="Q58" i="2" s="1"/>
  <c r="P57" i="2"/>
  <c r="Q57" i="2" s="1"/>
  <c r="P56" i="2"/>
  <c r="F15" i="4" s="1"/>
  <c r="L18" i="5" s="1"/>
  <c r="P54" i="2"/>
  <c r="Q54" i="2" s="1"/>
  <c r="P53" i="2"/>
  <c r="Q53" i="2" s="1"/>
  <c r="P47" i="2"/>
  <c r="Q47" i="2" s="1"/>
  <c r="P46" i="2"/>
  <c r="Q46" i="2" s="1"/>
  <c r="P45" i="2"/>
  <c r="P44" i="2"/>
  <c r="Q44" i="2" s="1"/>
  <c r="P43" i="2"/>
  <c r="Q43" i="2" s="1"/>
  <c r="P42" i="2"/>
  <c r="P41" i="2"/>
  <c r="Q41" i="2" s="1"/>
  <c r="P40" i="2"/>
  <c r="Q40" i="2" s="1"/>
  <c r="P39" i="2"/>
  <c r="P38" i="2"/>
  <c r="Q38" i="2" s="1"/>
  <c r="P37" i="2"/>
  <c r="Q37" i="2" s="1"/>
  <c r="P36" i="2"/>
  <c r="P35" i="2"/>
  <c r="Q35" i="2" s="1"/>
  <c r="P34" i="2"/>
  <c r="Q34" i="2" s="1"/>
  <c r="P33" i="2"/>
  <c r="P32" i="2"/>
  <c r="Q32" i="2" s="1"/>
  <c r="P31" i="2"/>
  <c r="Q31" i="2" s="1"/>
  <c r="P30" i="2"/>
  <c r="P29" i="2"/>
  <c r="Q29" i="2" s="1"/>
  <c r="P28" i="2"/>
  <c r="Q28" i="2" s="1"/>
  <c r="P27" i="2"/>
  <c r="P26" i="2"/>
  <c r="Q26" i="2" s="1"/>
  <c r="P25" i="2"/>
  <c r="Q25" i="2" s="1"/>
  <c r="P24" i="2"/>
  <c r="P23" i="2"/>
  <c r="Q23" i="2" s="1"/>
  <c r="P22" i="2"/>
  <c r="Q22" i="2" s="1"/>
  <c r="P21" i="2"/>
  <c r="P19" i="2"/>
  <c r="Q19" i="2" s="1"/>
  <c r="P18" i="2"/>
  <c r="Q18" i="2" s="1"/>
  <c r="P17" i="2"/>
  <c r="F9" i="4" s="1"/>
  <c r="L12" i="5" s="1"/>
  <c r="P13" i="2"/>
  <c r="F7" i="4" s="1"/>
  <c r="L10" i="5" s="1"/>
  <c r="P294" i="1"/>
  <c r="Q294" i="1" s="1"/>
  <c r="F56" i="3" s="1"/>
  <c r="G57" i="5" s="1"/>
  <c r="H294" i="1"/>
  <c r="I294" i="1" s="1"/>
  <c r="D56" i="3" s="1"/>
  <c r="E57" i="5" s="1"/>
  <c r="O57" i="5" s="1"/>
  <c r="P293" i="1"/>
  <c r="F55" i="3" s="1"/>
  <c r="G56" i="5" s="1"/>
  <c r="H293" i="1"/>
  <c r="D55" i="3" s="1"/>
  <c r="E56" i="5" s="1"/>
  <c r="O56" i="5" s="1"/>
  <c r="H291" i="1"/>
  <c r="H298" i="1" s="1"/>
  <c r="P290" i="1"/>
  <c r="H290" i="1"/>
  <c r="H289" i="1"/>
  <c r="P282" i="1"/>
  <c r="Q282" i="1" s="1"/>
  <c r="H282" i="1"/>
  <c r="I282" i="1" s="1"/>
  <c r="P281" i="1"/>
  <c r="Q281" i="1" s="1"/>
  <c r="I281" i="1"/>
  <c r="H280" i="1"/>
  <c r="D51" i="3" s="1"/>
  <c r="E52" i="5" s="1"/>
  <c r="O52" i="5" s="1"/>
  <c r="P280" i="1"/>
  <c r="F51" i="3" s="1"/>
  <c r="G52" i="5" s="1"/>
  <c r="P278" i="1"/>
  <c r="Q278" i="1" s="1"/>
  <c r="H278" i="1"/>
  <c r="I278" i="1" s="1"/>
  <c r="P277" i="1"/>
  <c r="Q277" i="1" s="1"/>
  <c r="H276" i="1"/>
  <c r="D49" i="3" s="1"/>
  <c r="E50" i="5" s="1"/>
  <c r="O50" i="5" s="1"/>
  <c r="H274" i="1"/>
  <c r="H273" i="1"/>
  <c r="H272" i="1"/>
  <c r="P264" i="1"/>
  <c r="Q264" i="1" s="1"/>
  <c r="H264" i="1"/>
  <c r="I264" i="1" s="1"/>
  <c r="P263" i="1"/>
  <c r="Q263" i="1" s="1"/>
  <c r="H263" i="1"/>
  <c r="I263" i="1" s="1"/>
  <c r="P262" i="1"/>
  <c r="F45" i="3" s="1"/>
  <c r="G46" i="5" s="1"/>
  <c r="H262" i="1"/>
  <c r="D45" i="3" s="1"/>
  <c r="E46" i="5" s="1"/>
  <c r="O46" i="5" s="1"/>
  <c r="P260" i="1"/>
  <c r="Q260" i="1" s="1"/>
  <c r="H260" i="1"/>
  <c r="I260" i="1" s="1"/>
  <c r="P259" i="1"/>
  <c r="Q259" i="1" s="1"/>
  <c r="H259" i="1"/>
  <c r="I259" i="1" s="1"/>
  <c r="P258" i="1"/>
  <c r="F43" i="3" s="1"/>
  <c r="G44" i="5" s="1"/>
  <c r="H258" i="1"/>
  <c r="D43" i="3" s="1"/>
  <c r="E44" i="5" s="1"/>
  <c r="O44" i="5" s="1"/>
  <c r="P256" i="1"/>
  <c r="H256" i="1"/>
  <c r="I256" i="1" s="1"/>
  <c r="P255" i="1"/>
  <c r="H255" i="1"/>
  <c r="I255" i="1" s="1"/>
  <c r="H254" i="1"/>
  <c r="D41" i="3" s="1"/>
  <c r="E42" i="5" s="1"/>
  <c r="O42" i="5" s="1"/>
  <c r="P246" i="1"/>
  <c r="Q246" i="1" s="1"/>
  <c r="H246" i="1"/>
  <c r="I246" i="1" s="1"/>
  <c r="P245" i="1"/>
  <c r="Q245" i="1" s="1"/>
  <c r="H245" i="1"/>
  <c r="I245" i="1" s="1"/>
  <c r="P244" i="1"/>
  <c r="H244" i="1"/>
  <c r="P242" i="1"/>
  <c r="Q242" i="1" s="1"/>
  <c r="H242" i="1"/>
  <c r="I242" i="1" s="1"/>
  <c r="P241" i="1"/>
  <c r="H241" i="1"/>
  <c r="P237" i="1"/>
  <c r="Q237" i="1" s="1"/>
  <c r="H237" i="1"/>
  <c r="I237" i="1" s="1"/>
  <c r="P236" i="1"/>
  <c r="Q236" i="1" s="1"/>
  <c r="H236" i="1"/>
  <c r="I236" i="1" s="1"/>
  <c r="P235" i="1"/>
  <c r="H235" i="1"/>
  <c r="P234" i="1"/>
  <c r="Q234" i="1" s="1"/>
  <c r="H234" i="1"/>
  <c r="I234" i="1" s="1"/>
  <c r="P233" i="1"/>
  <c r="Q233" i="1" s="1"/>
  <c r="H233" i="1"/>
  <c r="I233" i="1" s="1"/>
  <c r="P232" i="1"/>
  <c r="H232" i="1"/>
  <c r="P231" i="1"/>
  <c r="Q231" i="1" s="1"/>
  <c r="H231" i="1"/>
  <c r="I231" i="1" s="1"/>
  <c r="P229" i="1"/>
  <c r="H229" i="1"/>
  <c r="H227" i="1"/>
  <c r="I227" i="1" s="1"/>
  <c r="P226" i="1"/>
  <c r="Q226" i="1" s="1"/>
  <c r="H226" i="1"/>
  <c r="I226" i="1" s="1"/>
  <c r="H225" i="1"/>
  <c r="D37" i="3" s="1"/>
  <c r="E38" i="5" s="1"/>
  <c r="O38" i="5" s="1"/>
  <c r="H223" i="1"/>
  <c r="I223" i="1" s="1"/>
  <c r="H222" i="1"/>
  <c r="I222" i="1" s="1"/>
  <c r="P201" i="1"/>
  <c r="Q201" i="1" s="1"/>
  <c r="I201" i="1"/>
  <c r="J200" i="1" s="1"/>
  <c r="P200" i="1"/>
  <c r="P211" i="1"/>
  <c r="Q211" i="1" s="1"/>
  <c r="I211" i="1"/>
  <c r="P210" i="1"/>
  <c r="Q210" i="1" s="1"/>
  <c r="I210" i="1"/>
  <c r="P209" i="1"/>
  <c r="Q209" i="1" s="1"/>
  <c r="I209" i="1"/>
  <c r="P208" i="1"/>
  <c r="P207" i="1"/>
  <c r="Q207" i="1" s="1"/>
  <c r="I207" i="1"/>
  <c r="P206" i="1"/>
  <c r="Q206" i="1" s="1"/>
  <c r="I206" i="1"/>
  <c r="P205" i="1"/>
  <c r="Q205" i="1" s="1"/>
  <c r="I205" i="1"/>
  <c r="P219" i="1"/>
  <c r="Q219" i="1" s="1"/>
  <c r="I219" i="1"/>
  <c r="P218" i="1"/>
  <c r="Q218" i="1" s="1"/>
  <c r="I218" i="1"/>
  <c r="P217" i="1"/>
  <c r="Q217" i="1" s="1"/>
  <c r="I217" i="1"/>
  <c r="P199" i="1"/>
  <c r="Q199" i="1" s="1"/>
  <c r="I199" i="1"/>
  <c r="P198" i="1"/>
  <c r="Q198" i="1" s="1"/>
  <c r="I198" i="1"/>
  <c r="P197" i="1"/>
  <c r="Q197" i="1" s="1"/>
  <c r="I197" i="1"/>
  <c r="P189" i="1"/>
  <c r="Q189" i="1" s="1"/>
  <c r="F34" i="3" s="1"/>
  <c r="G35" i="5" s="1"/>
  <c r="H189" i="1"/>
  <c r="I189" i="1" s="1"/>
  <c r="D34" i="3" s="1"/>
  <c r="E35" i="5" s="1"/>
  <c r="O35" i="5" s="1"/>
  <c r="P188" i="1"/>
  <c r="F33" i="3" s="1"/>
  <c r="G34" i="5" s="1"/>
  <c r="H188" i="1"/>
  <c r="D33" i="3" s="1"/>
  <c r="E34" i="5" s="1"/>
  <c r="O34" i="5" s="1"/>
  <c r="H186" i="1"/>
  <c r="I186" i="1" s="1"/>
  <c r="P186" i="1"/>
  <c r="Q186" i="1" s="1"/>
  <c r="H185" i="1"/>
  <c r="I185" i="1" s="1"/>
  <c r="H184" i="1"/>
  <c r="D31" i="3" s="1"/>
  <c r="E32" i="5" s="1"/>
  <c r="O32" i="5" s="1"/>
  <c r="P183" i="1"/>
  <c r="Q183" i="1" s="1"/>
  <c r="H183" i="1"/>
  <c r="I183" i="1" s="1"/>
  <c r="P182" i="1"/>
  <c r="Q182" i="1" s="1"/>
  <c r="I182" i="1"/>
  <c r="P181" i="1"/>
  <c r="P179" i="1"/>
  <c r="Q179" i="1" s="1"/>
  <c r="I179" i="1"/>
  <c r="J178" i="1" s="1"/>
  <c r="P178" i="1"/>
  <c r="P177" i="1"/>
  <c r="Q177" i="1" s="1"/>
  <c r="H177" i="1"/>
  <c r="I177" i="1" s="1"/>
  <c r="P176" i="1"/>
  <c r="Q176" i="1" s="1"/>
  <c r="H176" i="1"/>
  <c r="I176" i="1" s="1"/>
  <c r="P175" i="1"/>
  <c r="P174" i="1"/>
  <c r="Q174" i="1" s="1"/>
  <c r="I174" i="1"/>
  <c r="P173" i="1"/>
  <c r="Q173" i="1" s="1"/>
  <c r="H173" i="1"/>
  <c r="I173" i="1" s="1"/>
  <c r="P172" i="1"/>
  <c r="H172" i="1"/>
  <c r="P171" i="1"/>
  <c r="Q171" i="1" s="1"/>
  <c r="H171" i="1"/>
  <c r="I171" i="1" s="1"/>
  <c r="P169" i="1"/>
  <c r="H169" i="1"/>
  <c r="P168" i="1"/>
  <c r="Q168" i="1" s="1"/>
  <c r="H168" i="1"/>
  <c r="I168" i="1" s="1"/>
  <c r="P167" i="1"/>
  <c r="Q167" i="1" s="1"/>
  <c r="H167" i="1"/>
  <c r="I167" i="1" s="1"/>
  <c r="H166" i="1"/>
  <c r="P164" i="1"/>
  <c r="Q164" i="1" s="1"/>
  <c r="H164" i="1"/>
  <c r="I164" i="1" s="1"/>
  <c r="P163" i="1"/>
  <c r="Q163" i="1" s="1"/>
  <c r="H163" i="1"/>
  <c r="I163" i="1" s="1"/>
  <c r="P162" i="1"/>
  <c r="F29" i="3" s="1"/>
  <c r="G30" i="5" s="1"/>
  <c r="H162" i="1"/>
  <c r="D29" i="3" s="1"/>
  <c r="E30" i="5" s="1"/>
  <c r="O30" i="5" s="1"/>
  <c r="H159" i="1"/>
  <c r="I159" i="1" s="1"/>
  <c r="D28" i="3" s="1"/>
  <c r="E29" i="5" s="1"/>
  <c r="O29" i="5" s="1"/>
  <c r="H158" i="1"/>
  <c r="D27" i="3" s="1"/>
  <c r="E28" i="5" s="1"/>
  <c r="O28" i="5" s="1"/>
  <c r="P154" i="1"/>
  <c r="Q154" i="1" s="1"/>
  <c r="H154" i="1"/>
  <c r="I154" i="1" s="1"/>
  <c r="P153" i="1"/>
  <c r="Q153" i="1" s="1"/>
  <c r="H153" i="1"/>
  <c r="I153" i="1" s="1"/>
  <c r="P152" i="1"/>
  <c r="H152" i="1"/>
  <c r="P151" i="1"/>
  <c r="Q151" i="1" s="1"/>
  <c r="H151" i="1"/>
  <c r="I151" i="1" s="1"/>
  <c r="P150" i="1"/>
  <c r="Q150" i="1" s="1"/>
  <c r="H150" i="1"/>
  <c r="I150" i="1" s="1"/>
  <c r="P149" i="1"/>
  <c r="H149" i="1"/>
  <c r="P148" i="1"/>
  <c r="Q148" i="1" s="1"/>
  <c r="H148" i="1"/>
  <c r="I148" i="1" s="1"/>
  <c r="P146" i="1"/>
  <c r="H146" i="1"/>
  <c r="P145" i="1"/>
  <c r="Q145" i="1" s="1"/>
  <c r="H145" i="1"/>
  <c r="I145" i="1" s="1"/>
  <c r="P144" i="1"/>
  <c r="Q144" i="1" s="1"/>
  <c r="H144" i="1"/>
  <c r="I144" i="1" s="1"/>
  <c r="P143" i="1"/>
  <c r="H143" i="1"/>
  <c r="P142" i="1"/>
  <c r="Q142" i="1" s="1"/>
  <c r="H142" i="1"/>
  <c r="I142" i="1" s="1"/>
  <c r="P141" i="1"/>
  <c r="Q141" i="1" s="1"/>
  <c r="H141" i="1"/>
  <c r="I141" i="1" s="1"/>
  <c r="P140" i="1"/>
  <c r="H140" i="1"/>
  <c r="P139" i="1"/>
  <c r="Q139" i="1" s="1"/>
  <c r="H139" i="1"/>
  <c r="I139" i="1" s="1"/>
  <c r="P138" i="1"/>
  <c r="Q138" i="1" s="1"/>
  <c r="H138" i="1"/>
  <c r="I138" i="1" s="1"/>
  <c r="P136" i="1"/>
  <c r="Q136" i="1" s="1"/>
  <c r="H136" i="1"/>
  <c r="I136" i="1" s="1"/>
  <c r="P135" i="1"/>
  <c r="Q135" i="1" s="1"/>
  <c r="H135" i="1"/>
  <c r="I135" i="1" s="1"/>
  <c r="P134" i="1"/>
  <c r="H134" i="1"/>
  <c r="P133" i="1"/>
  <c r="Q133" i="1" s="1"/>
  <c r="H133" i="1"/>
  <c r="I133" i="1" s="1"/>
  <c r="P132" i="1"/>
  <c r="Q132" i="1" s="1"/>
  <c r="H132" i="1"/>
  <c r="I132" i="1" s="1"/>
  <c r="P131" i="1"/>
  <c r="H131" i="1"/>
  <c r="P130" i="1"/>
  <c r="Q130" i="1" s="1"/>
  <c r="H130" i="1"/>
  <c r="I130" i="1" s="1"/>
  <c r="P129" i="1"/>
  <c r="Q129" i="1" s="1"/>
  <c r="H129" i="1"/>
  <c r="I129" i="1" s="1"/>
  <c r="P128" i="1"/>
  <c r="H128" i="1"/>
  <c r="P126" i="1"/>
  <c r="Q126" i="1" s="1"/>
  <c r="H126" i="1"/>
  <c r="I126" i="1" s="1"/>
  <c r="P125" i="1"/>
  <c r="H125" i="1"/>
  <c r="H123" i="1"/>
  <c r="I123" i="1" s="1"/>
  <c r="P123" i="1"/>
  <c r="Q123" i="1" s="1"/>
  <c r="P122" i="1"/>
  <c r="Q122" i="1" s="1"/>
  <c r="H122" i="1"/>
  <c r="I122" i="1" s="1"/>
  <c r="H121" i="1"/>
  <c r="D25" i="3" s="1"/>
  <c r="E26" i="5" s="1"/>
  <c r="O26" i="5" s="1"/>
  <c r="P119" i="1"/>
  <c r="Q119" i="1" s="1"/>
  <c r="H119" i="1"/>
  <c r="I119" i="1" s="1"/>
  <c r="P118" i="1"/>
  <c r="Q118" i="1" s="1"/>
  <c r="H118" i="1"/>
  <c r="I118" i="1" s="1"/>
  <c r="D24" i="3" s="1"/>
  <c r="E25" i="5" s="1"/>
  <c r="O25" i="5" s="1"/>
  <c r="P106" i="1"/>
  <c r="Q106" i="1" s="1"/>
  <c r="H106" i="1"/>
  <c r="I106" i="1" s="1"/>
  <c r="P105" i="1"/>
  <c r="Q105" i="1" s="1"/>
  <c r="H105" i="1"/>
  <c r="I105" i="1" s="1"/>
  <c r="P104" i="1"/>
  <c r="H104" i="1"/>
  <c r="H102" i="1"/>
  <c r="H101" i="1"/>
  <c r="H100" i="1"/>
  <c r="D19" i="3" s="1"/>
  <c r="E20" i="5" s="1"/>
  <c r="O20" i="5" s="1"/>
  <c r="P99" i="1"/>
  <c r="Q99" i="1" s="1"/>
  <c r="H99" i="1"/>
  <c r="I99" i="1" s="1"/>
  <c r="P98" i="1"/>
  <c r="Q98" i="1" s="1"/>
  <c r="H98" i="1"/>
  <c r="I98" i="1" s="1"/>
  <c r="P96" i="1"/>
  <c r="Q96" i="1" s="1"/>
  <c r="H96" i="1"/>
  <c r="I96" i="1" s="1"/>
  <c r="P95" i="1"/>
  <c r="Q95" i="1" s="1"/>
  <c r="H95" i="1"/>
  <c r="I95" i="1" s="1"/>
  <c r="P94" i="1"/>
  <c r="P93" i="1"/>
  <c r="Q93" i="1" s="1"/>
  <c r="P92" i="1"/>
  <c r="Q92" i="1" s="1"/>
  <c r="P91" i="1"/>
  <c r="P90" i="1"/>
  <c r="Q90" i="1" s="1"/>
  <c r="P89" i="1"/>
  <c r="Q89" i="1" s="1"/>
  <c r="P88" i="1"/>
  <c r="P83" i="1"/>
  <c r="Q83" i="1" s="1"/>
  <c r="H83" i="1"/>
  <c r="I83" i="1" s="1"/>
  <c r="P82" i="1"/>
  <c r="H82" i="1"/>
  <c r="P81" i="1"/>
  <c r="Q81" i="1" s="1"/>
  <c r="H81" i="1"/>
  <c r="I81" i="1" s="1"/>
  <c r="P80" i="1"/>
  <c r="Q80" i="1" s="1"/>
  <c r="H80" i="1"/>
  <c r="I80" i="1" s="1"/>
  <c r="P79" i="1"/>
  <c r="H79" i="1"/>
  <c r="P78" i="1"/>
  <c r="Q78" i="1" s="1"/>
  <c r="H78" i="1"/>
  <c r="I78" i="1" s="1"/>
  <c r="P77" i="1"/>
  <c r="Q77" i="1" s="1"/>
  <c r="H77" i="1"/>
  <c r="I77" i="1" s="1"/>
  <c r="P76" i="1"/>
  <c r="H76" i="1"/>
  <c r="P75" i="1"/>
  <c r="Q75" i="1" s="1"/>
  <c r="H75" i="1"/>
  <c r="I75" i="1" s="1"/>
  <c r="P73" i="1"/>
  <c r="H73" i="1"/>
  <c r="P72" i="1"/>
  <c r="Q72" i="1" s="1"/>
  <c r="H72" i="1"/>
  <c r="I72" i="1" s="1"/>
  <c r="P71" i="1"/>
  <c r="Q71" i="1" s="1"/>
  <c r="H71" i="1"/>
  <c r="I71" i="1" s="1"/>
  <c r="P70" i="1"/>
  <c r="H70" i="1"/>
  <c r="P69" i="1"/>
  <c r="Q69" i="1" s="1"/>
  <c r="H69" i="1"/>
  <c r="I69" i="1" s="1"/>
  <c r="P68" i="1"/>
  <c r="Q68" i="1" s="1"/>
  <c r="H68" i="1"/>
  <c r="I68" i="1" s="1"/>
  <c r="P67" i="1"/>
  <c r="H67" i="1"/>
  <c r="P66" i="1"/>
  <c r="Q66" i="1" s="1"/>
  <c r="H66" i="1"/>
  <c r="I66" i="1" s="1"/>
  <c r="P65" i="1"/>
  <c r="Q65" i="1" s="1"/>
  <c r="H65" i="1"/>
  <c r="I65" i="1" s="1"/>
  <c r="P62" i="1"/>
  <c r="Q62" i="1" s="1"/>
  <c r="H62" i="1"/>
  <c r="I62" i="1" s="1"/>
  <c r="H61" i="1"/>
  <c r="I61" i="1" s="1"/>
  <c r="H60" i="1"/>
  <c r="D17" i="3" s="1"/>
  <c r="E18" i="5" s="1"/>
  <c r="O18" i="5" s="1"/>
  <c r="P60" i="1"/>
  <c r="F17" i="3" s="1"/>
  <c r="G18" i="5" s="1"/>
  <c r="P58" i="1"/>
  <c r="Q58" i="1" s="1"/>
  <c r="H58" i="1"/>
  <c r="I58" i="1" s="1"/>
  <c r="P57" i="1"/>
  <c r="Q57" i="1" s="1"/>
  <c r="H57" i="1"/>
  <c r="I57" i="1" s="1"/>
  <c r="P56" i="1"/>
  <c r="F15" i="3" s="1"/>
  <c r="G16" i="5" s="1"/>
  <c r="H56" i="1"/>
  <c r="D15" i="3" s="1"/>
  <c r="E16" i="5" s="1"/>
  <c r="O16" i="5" s="1"/>
  <c r="P51" i="1"/>
  <c r="Q51" i="1" s="1"/>
  <c r="H51" i="1"/>
  <c r="I51" i="1" s="1"/>
  <c r="P50" i="1"/>
  <c r="Q50" i="1" s="1"/>
  <c r="H50" i="1"/>
  <c r="I50" i="1" s="1"/>
  <c r="P49" i="1"/>
  <c r="H49" i="1"/>
  <c r="P48" i="1"/>
  <c r="Q48" i="1" s="1"/>
  <c r="H48" i="1"/>
  <c r="I48" i="1" s="1"/>
  <c r="P47" i="1"/>
  <c r="Q47" i="1" s="1"/>
  <c r="H47" i="1"/>
  <c r="I47" i="1" s="1"/>
  <c r="P46" i="1"/>
  <c r="H46" i="1"/>
  <c r="P45" i="1"/>
  <c r="Q45" i="1" s="1"/>
  <c r="H45" i="1"/>
  <c r="I45" i="1" s="1"/>
  <c r="P43" i="1"/>
  <c r="H43" i="1"/>
  <c r="P42" i="1"/>
  <c r="Q42" i="1" s="1"/>
  <c r="H42" i="1"/>
  <c r="I42" i="1" s="1"/>
  <c r="P41" i="1"/>
  <c r="Q41" i="1" s="1"/>
  <c r="H41" i="1"/>
  <c r="I41" i="1" s="1"/>
  <c r="P40" i="1"/>
  <c r="H40" i="1"/>
  <c r="P39" i="1"/>
  <c r="Q39" i="1" s="1"/>
  <c r="H39" i="1"/>
  <c r="I39" i="1" s="1"/>
  <c r="P38" i="1"/>
  <c r="Q38" i="1" s="1"/>
  <c r="H38" i="1"/>
  <c r="I38" i="1" s="1"/>
  <c r="P37" i="1"/>
  <c r="H37" i="1"/>
  <c r="P36" i="1"/>
  <c r="Q36" i="1" s="1"/>
  <c r="H36" i="1"/>
  <c r="I36" i="1" s="1"/>
  <c r="P35" i="1"/>
  <c r="Q35" i="1" s="1"/>
  <c r="H35" i="1"/>
  <c r="I35" i="1" s="1"/>
  <c r="H33" i="1"/>
  <c r="H32" i="1"/>
  <c r="H31" i="1"/>
  <c r="H30" i="1"/>
  <c r="H29" i="1"/>
  <c r="H28" i="1"/>
  <c r="H27" i="1"/>
  <c r="H26" i="1"/>
  <c r="H25" i="1"/>
  <c r="H265" i="1" s="1"/>
  <c r="J21" i="1"/>
  <c r="H7" i="1"/>
  <c r="I7" i="1" s="1"/>
  <c r="H6" i="1"/>
  <c r="H19" i="1"/>
  <c r="H18" i="1"/>
  <c r="D42" i="3" l="1"/>
  <c r="E43" i="5" s="1"/>
  <c r="O43" i="5" s="1"/>
  <c r="D46" i="3"/>
  <c r="E47" i="5" s="1"/>
  <c r="O47" i="5" s="1"/>
  <c r="D30" i="3"/>
  <c r="E31" i="5" s="1"/>
  <c r="O31" i="5" s="1"/>
  <c r="F44" i="3"/>
  <c r="G45" i="5" s="1"/>
  <c r="F26" i="3"/>
  <c r="G27" i="5" s="1"/>
  <c r="D38" i="3"/>
  <c r="E39" i="5" s="1"/>
  <c r="O39" i="5" s="1"/>
  <c r="D44" i="3"/>
  <c r="E45" i="5" s="1"/>
  <c r="O45" i="5" s="1"/>
  <c r="H285" i="1"/>
  <c r="P297" i="1"/>
  <c r="H297" i="1"/>
  <c r="F50" i="3"/>
  <c r="G51" i="5" s="1"/>
  <c r="F30" i="3"/>
  <c r="G31" i="5" s="1"/>
  <c r="D18" i="3"/>
  <c r="E19" i="5" s="1"/>
  <c r="O19" i="5" s="1"/>
  <c r="F24" i="3"/>
  <c r="G25" i="5" s="1"/>
  <c r="F46" i="3"/>
  <c r="G47" i="5" s="1"/>
  <c r="D52" i="3"/>
  <c r="E53" i="5" s="1"/>
  <c r="O53" i="5" s="1"/>
  <c r="F52" i="3"/>
  <c r="G53" i="5" s="1"/>
  <c r="F32" i="4"/>
  <c r="L35" i="5" s="1"/>
  <c r="F24" i="4"/>
  <c r="L27" i="5" s="1"/>
  <c r="F14" i="4"/>
  <c r="L17" i="5" s="1"/>
  <c r="F16" i="4"/>
  <c r="L19" i="5" s="1"/>
  <c r="F10" i="4"/>
  <c r="L13" i="5" s="1"/>
  <c r="D16" i="3"/>
  <c r="E17" i="5" s="1"/>
  <c r="O17" i="5" s="1"/>
  <c r="F16" i="3"/>
  <c r="G17" i="5" s="1"/>
  <c r="D32" i="3"/>
  <c r="E33" i="5" s="1"/>
  <c r="O33" i="5" s="1"/>
  <c r="D47" i="3"/>
  <c r="E48" i="5" s="1"/>
  <c r="O48" i="5" s="1"/>
  <c r="H283" i="1"/>
  <c r="D26" i="3"/>
  <c r="E27" i="5" s="1"/>
  <c r="O27" i="5" s="1"/>
  <c r="I273" i="1"/>
  <c r="H284" i="1"/>
  <c r="D53" i="3"/>
  <c r="E54" i="5" s="1"/>
  <c r="O54" i="5" s="1"/>
  <c r="H296" i="1"/>
  <c r="P270" i="2"/>
  <c r="Q264" i="2"/>
  <c r="I101" i="1"/>
  <c r="H267" i="1"/>
  <c r="H301" i="1" s="1"/>
  <c r="I102" i="1"/>
  <c r="H268" i="1"/>
  <c r="H302" i="1" s="1"/>
  <c r="Q207" i="2"/>
  <c r="Q253" i="2" s="1"/>
  <c r="Q287" i="2" s="1"/>
  <c r="P253" i="2"/>
  <c r="P287" i="2" s="1"/>
  <c r="P6" i="2"/>
  <c r="O254" i="2"/>
  <c r="O288" i="2" s="1"/>
  <c r="P7" i="2"/>
  <c r="O255" i="2"/>
  <c r="O289" i="2" s="1"/>
  <c r="O252" i="2"/>
  <c r="O286" i="2" s="1"/>
  <c r="Q269" i="2"/>
  <c r="R267" i="2" s="1"/>
  <c r="I290" i="1"/>
  <c r="R137" i="1"/>
  <c r="J43" i="1"/>
  <c r="R293" i="1"/>
  <c r="J293" i="1"/>
  <c r="R34" i="1"/>
  <c r="R43" i="1"/>
  <c r="P5" i="2"/>
  <c r="F3" i="4" s="1"/>
  <c r="L4" i="5" s="1"/>
  <c r="P15" i="2"/>
  <c r="Q15" i="2" s="1"/>
  <c r="J137" i="1"/>
  <c r="R178" i="1"/>
  <c r="J188" i="1"/>
  <c r="J117" i="1"/>
  <c r="R146" i="1"/>
  <c r="R200" i="1"/>
  <c r="R229" i="1"/>
  <c r="J34" i="1"/>
  <c r="R73" i="1"/>
  <c r="J241" i="1"/>
  <c r="J169" i="1"/>
  <c r="R204" i="1"/>
  <c r="Q255" i="1"/>
  <c r="Q256" i="1"/>
  <c r="R64" i="1"/>
  <c r="J146" i="1"/>
  <c r="J204" i="1"/>
  <c r="J229" i="1"/>
  <c r="R117" i="1"/>
  <c r="J73" i="1"/>
  <c r="J82" i="1"/>
  <c r="J158" i="1"/>
  <c r="R241" i="1"/>
  <c r="R169" i="1"/>
  <c r="R82" i="1"/>
  <c r="R188" i="1"/>
  <c r="J97" i="1"/>
  <c r="J125" i="1"/>
  <c r="J64" i="1"/>
  <c r="R97" i="1"/>
  <c r="R125" i="1"/>
  <c r="I26" i="1"/>
  <c r="I32" i="1"/>
  <c r="I6" i="1"/>
  <c r="D4" i="3" s="1"/>
  <c r="E5" i="5" s="1"/>
  <c r="O5" i="5" s="1"/>
  <c r="I27" i="1"/>
  <c r="I33" i="1"/>
  <c r="P7" i="1"/>
  <c r="P21" i="1"/>
  <c r="F11" i="3" s="1"/>
  <c r="G12" i="5" s="1"/>
  <c r="I29" i="1"/>
  <c r="P33" i="1"/>
  <c r="P18" i="1"/>
  <c r="P6" i="1"/>
  <c r="I30" i="1"/>
  <c r="P5" i="1"/>
  <c r="F3" i="3" s="1"/>
  <c r="G4" i="5" s="1"/>
  <c r="P32" i="1"/>
  <c r="P28" i="1"/>
  <c r="P22" i="1"/>
  <c r="P19" i="1"/>
  <c r="P30" i="1"/>
  <c r="P29" i="1"/>
  <c r="P26" i="1"/>
  <c r="P27" i="1"/>
  <c r="P17" i="1"/>
  <c r="F9" i="3" s="1"/>
  <c r="G10" i="5" s="1"/>
  <c r="P23" i="1"/>
  <c r="P25" i="1"/>
  <c r="P31" i="1"/>
  <c r="I19" i="1"/>
  <c r="I18" i="1"/>
  <c r="J40" i="1"/>
  <c r="R49" i="1"/>
  <c r="P176" i="2"/>
  <c r="Q176" i="2" s="1"/>
  <c r="J46" i="1"/>
  <c r="R39" i="2"/>
  <c r="J175" i="1"/>
  <c r="J37" i="1"/>
  <c r="J79" i="1"/>
  <c r="J49" i="1"/>
  <c r="J76" i="1"/>
  <c r="J149" i="1"/>
  <c r="P239" i="2"/>
  <c r="Q239" i="2" s="1"/>
  <c r="F40" i="4" s="1"/>
  <c r="L43" i="5" s="1"/>
  <c r="R45" i="2"/>
  <c r="R90" i="2"/>
  <c r="J94" i="1"/>
  <c r="J140" i="1"/>
  <c r="R42" i="2"/>
  <c r="R97" i="2"/>
  <c r="R145" i="2"/>
  <c r="R162" i="2"/>
  <c r="J131" i="1"/>
  <c r="R228" i="2"/>
  <c r="P175" i="2"/>
  <c r="Q175" i="2" s="1"/>
  <c r="P238" i="2"/>
  <c r="F39" i="4" s="1"/>
  <c r="L42" i="5" s="1"/>
  <c r="P174" i="2"/>
  <c r="F29" i="4" s="1"/>
  <c r="L32" i="5" s="1"/>
  <c r="J244" i="1"/>
  <c r="P251" i="1"/>
  <c r="Q251" i="1" s="1"/>
  <c r="J235" i="1"/>
  <c r="P250" i="1"/>
  <c r="F39" i="3" s="1"/>
  <c r="G40" i="5" s="1"/>
  <c r="P185" i="1"/>
  <c r="Q185" i="1" s="1"/>
  <c r="F32" i="3" s="1"/>
  <c r="G33" i="5" s="1"/>
  <c r="R143" i="1"/>
  <c r="J104" i="1"/>
  <c r="R70" i="1"/>
  <c r="J67" i="1"/>
  <c r="J166" i="1"/>
  <c r="J172" i="1"/>
  <c r="J162" i="1"/>
  <c r="J143" i="1"/>
  <c r="R128" i="1"/>
  <c r="P158" i="1"/>
  <c r="F27" i="3" s="1"/>
  <c r="G28" i="5" s="1"/>
  <c r="J70" i="1"/>
  <c r="J56" i="1"/>
  <c r="P102" i="1"/>
  <c r="P100" i="1"/>
  <c r="F19" i="3" s="1"/>
  <c r="G20" i="5" s="1"/>
  <c r="P101" i="1"/>
  <c r="R91" i="1"/>
  <c r="R222" i="2"/>
  <c r="R36" i="2"/>
  <c r="R127" i="2"/>
  <c r="R118" i="2"/>
  <c r="P276" i="2"/>
  <c r="R84" i="2"/>
  <c r="R225" i="2"/>
  <c r="R139" i="2"/>
  <c r="R156" i="2"/>
  <c r="R171" i="2"/>
  <c r="R103" i="2"/>
  <c r="R30" i="2"/>
  <c r="R219" i="2"/>
  <c r="R72" i="2"/>
  <c r="P260" i="2"/>
  <c r="F47" i="4" s="1"/>
  <c r="L50" i="5" s="1"/>
  <c r="R67" i="1"/>
  <c r="R88" i="1"/>
  <c r="R181" i="1"/>
  <c r="R140" i="1"/>
  <c r="R134" i="1"/>
  <c r="R194" i="2"/>
  <c r="J208" i="1"/>
  <c r="J216" i="1"/>
  <c r="J196" i="1"/>
  <c r="H221" i="1"/>
  <c r="H266" i="1" s="1"/>
  <c r="H300" i="1" s="1"/>
  <c r="R208" i="1"/>
  <c r="P223" i="1"/>
  <c r="Q223" i="1" s="1"/>
  <c r="R94" i="1"/>
  <c r="R76" i="1"/>
  <c r="R37" i="1"/>
  <c r="R46" i="1"/>
  <c r="R104" i="1"/>
  <c r="P61" i="1"/>
  <c r="Q61" i="1" s="1"/>
  <c r="F18" i="3" s="1"/>
  <c r="G19" i="5" s="1"/>
  <c r="R79" i="1"/>
  <c r="R40" i="1"/>
  <c r="J60" i="1"/>
  <c r="R280" i="1"/>
  <c r="J181" i="1"/>
  <c r="P159" i="1"/>
  <c r="Q159" i="1" s="1"/>
  <c r="F28" i="3" s="1"/>
  <c r="G29" i="5" s="1"/>
  <c r="R175" i="1"/>
  <c r="P254" i="1"/>
  <c r="F41" i="3" s="1"/>
  <c r="G42" i="5" s="1"/>
  <c r="R56" i="1"/>
  <c r="J121" i="1"/>
  <c r="R162" i="1"/>
  <c r="R232" i="1"/>
  <c r="P121" i="1"/>
  <c r="F25" i="3" s="1"/>
  <c r="G26" i="5" s="1"/>
  <c r="P222" i="1"/>
  <c r="Q222" i="1" s="1"/>
  <c r="R258" i="1"/>
  <c r="P166" i="1"/>
  <c r="R166" i="1" s="1"/>
  <c r="P216" i="1"/>
  <c r="R216" i="1" s="1"/>
  <c r="P225" i="1"/>
  <c r="F37" i="3" s="1"/>
  <c r="G38" i="5" s="1"/>
  <c r="R131" i="1"/>
  <c r="R152" i="1"/>
  <c r="J254" i="1"/>
  <c r="R262" i="1"/>
  <c r="J184" i="1"/>
  <c r="P196" i="1"/>
  <c r="R196" i="1" s="1"/>
  <c r="J128" i="1"/>
  <c r="J225" i="1"/>
  <c r="J232" i="1"/>
  <c r="R235" i="1"/>
  <c r="R244" i="1"/>
  <c r="Q290" i="1"/>
  <c r="R149" i="1"/>
  <c r="P227" i="1"/>
  <c r="Q227" i="1" s="1"/>
  <c r="F38" i="3" s="1"/>
  <c r="G39" i="5" s="1"/>
  <c r="J152" i="1"/>
  <c r="R172" i="1"/>
  <c r="J134" i="1"/>
  <c r="P252" i="1"/>
  <c r="Q252" i="1" s="1"/>
  <c r="J262" i="1"/>
  <c r="P276" i="1"/>
  <c r="F49" i="3" s="1"/>
  <c r="G50" i="5" s="1"/>
  <c r="R63" i="2"/>
  <c r="R24" i="2"/>
  <c r="P213" i="2"/>
  <c r="Q213" i="2" s="1"/>
  <c r="I291" i="1"/>
  <c r="I298" i="1" s="1"/>
  <c r="P14" i="2"/>
  <c r="R17" i="2"/>
  <c r="R75" i="2"/>
  <c r="P289" i="1"/>
  <c r="P291" i="1"/>
  <c r="P298" i="1" s="1"/>
  <c r="R66" i="2"/>
  <c r="R87" i="2"/>
  <c r="R78" i="2"/>
  <c r="I274" i="1"/>
  <c r="I285" i="1" s="1"/>
  <c r="R33" i="2"/>
  <c r="P274" i="1"/>
  <c r="P285" i="1" s="1"/>
  <c r="R27" i="2"/>
  <c r="R69" i="2"/>
  <c r="P106" i="2"/>
  <c r="F19" i="4" s="1"/>
  <c r="L22" i="5" s="1"/>
  <c r="I277" i="1"/>
  <c r="D50" i="3" s="1"/>
  <c r="E51" i="5" s="1"/>
  <c r="O51" i="5" s="1"/>
  <c r="R21" i="2"/>
  <c r="R60" i="2"/>
  <c r="R81" i="2"/>
  <c r="J258" i="1"/>
  <c r="J280" i="1"/>
  <c r="Q278" i="2"/>
  <c r="F54" i="4" s="1"/>
  <c r="L57" i="5" s="1"/>
  <c r="R110" i="2"/>
  <c r="P149" i="2"/>
  <c r="Q149" i="2" s="1"/>
  <c r="R215" i="2"/>
  <c r="R159" i="2"/>
  <c r="R100" i="2"/>
  <c r="R121" i="2"/>
  <c r="R182" i="2"/>
  <c r="P107" i="2"/>
  <c r="Q107" i="2" s="1"/>
  <c r="R130" i="2"/>
  <c r="P150" i="2"/>
  <c r="Q150" i="2" s="1"/>
  <c r="R178" i="2"/>
  <c r="R206" i="2"/>
  <c r="R202" i="2"/>
  <c r="P52" i="2"/>
  <c r="F13" i="4" s="1"/>
  <c r="L16" i="5" s="1"/>
  <c r="P48" i="2"/>
  <c r="F11" i="4" s="1"/>
  <c r="L14" i="5" s="1"/>
  <c r="P49" i="2"/>
  <c r="Q49" i="2" s="1"/>
  <c r="P50" i="2"/>
  <c r="Q50" i="2" s="1"/>
  <c r="R114" i="2"/>
  <c r="R142" i="2"/>
  <c r="P212" i="2"/>
  <c r="Q212" i="2" s="1"/>
  <c r="R124" i="2"/>
  <c r="R133" i="2"/>
  <c r="R165" i="2"/>
  <c r="R186" i="2"/>
  <c r="R190" i="2"/>
  <c r="P108" i="2"/>
  <c r="Q108" i="2" s="1"/>
  <c r="R152" i="2"/>
  <c r="P210" i="2"/>
  <c r="F33" i="4" s="1"/>
  <c r="L36" i="5" s="1"/>
  <c r="R231" i="2"/>
  <c r="R56" i="2"/>
  <c r="P93" i="2"/>
  <c r="F17" i="4" s="1"/>
  <c r="L20" i="5" s="1"/>
  <c r="R136" i="2"/>
  <c r="R168" i="2"/>
  <c r="R198" i="2"/>
  <c r="P148" i="2"/>
  <c r="F25" i="4" s="1"/>
  <c r="L28" i="5" s="1"/>
  <c r="R263" i="2"/>
  <c r="R280" i="2"/>
  <c r="P261" i="2"/>
  <c r="P272" i="2" s="1"/>
  <c r="P277" i="2"/>
  <c r="F53" i="4" s="1"/>
  <c r="L56" i="5" s="1"/>
  <c r="R249" i="2"/>
  <c r="F20" i="4" l="1"/>
  <c r="L23" i="5" s="1"/>
  <c r="F42" i="3"/>
  <c r="G43" i="5" s="1"/>
  <c r="Q43" i="5" s="1"/>
  <c r="F40" i="3"/>
  <c r="G41" i="5" s="1"/>
  <c r="D10" i="3"/>
  <c r="E11" i="5" s="1"/>
  <c r="O11" i="5" s="1"/>
  <c r="F26" i="4"/>
  <c r="L29" i="5" s="1"/>
  <c r="F30" i="4"/>
  <c r="L33" i="5" s="1"/>
  <c r="Q33" i="5" s="1"/>
  <c r="F12" i="4"/>
  <c r="L15" i="5" s="1"/>
  <c r="H299" i="1"/>
  <c r="Q297" i="1"/>
  <c r="D48" i="3"/>
  <c r="E49" i="5" s="1"/>
  <c r="O49" i="5" s="1"/>
  <c r="I284" i="1"/>
  <c r="J283" i="1" s="1"/>
  <c r="P296" i="1"/>
  <c r="F53" i="3"/>
  <c r="G54" i="5" s="1"/>
  <c r="I268" i="1"/>
  <c r="I302" i="1" s="1"/>
  <c r="D54" i="3"/>
  <c r="E55" i="5" s="1"/>
  <c r="O55" i="5" s="1"/>
  <c r="I297" i="1"/>
  <c r="J296" i="1" s="1"/>
  <c r="I267" i="1"/>
  <c r="I301" i="1" s="1"/>
  <c r="D20" i="3"/>
  <c r="E21" i="5" s="1"/>
  <c r="O21" i="5" s="1"/>
  <c r="P271" i="2"/>
  <c r="Q285" i="2"/>
  <c r="Q57" i="5"/>
  <c r="P284" i="2"/>
  <c r="P288" i="2" s="1"/>
  <c r="Q56" i="5"/>
  <c r="P265" i="1"/>
  <c r="Q102" i="1"/>
  <c r="P268" i="1"/>
  <c r="P302" i="1" s="1"/>
  <c r="J100" i="1"/>
  <c r="Q101" i="1"/>
  <c r="P267" i="1"/>
  <c r="P301" i="1" s="1"/>
  <c r="P283" i="2"/>
  <c r="Q7" i="2"/>
  <c r="Q255" i="2" s="1"/>
  <c r="P255" i="2"/>
  <c r="P289" i="2" s="1"/>
  <c r="P252" i="2"/>
  <c r="Q6" i="2"/>
  <c r="P254" i="2"/>
  <c r="P94" i="2"/>
  <c r="Q238" i="2"/>
  <c r="R237" i="2" s="1"/>
  <c r="J31" i="1"/>
  <c r="J25" i="1"/>
  <c r="J5" i="1"/>
  <c r="Q18" i="1"/>
  <c r="R158" i="1"/>
  <c r="J17" i="1"/>
  <c r="Q22" i="1"/>
  <c r="Q35" i="5"/>
  <c r="Q7" i="1"/>
  <c r="Q29" i="1"/>
  <c r="Q33" i="1"/>
  <c r="Q27" i="1"/>
  <c r="Q32" i="1"/>
  <c r="Q26" i="1"/>
  <c r="Q30" i="1"/>
  <c r="Q6" i="1"/>
  <c r="J28" i="1"/>
  <c r="Q19" i="1"/>
  <c r="Q23" i="1"/>
  <c r="G35" i="4"/>
  <c r="M38" i="5" s="1"/>
  <c r="G15" i="4"/>
  <c r="M18" i="5" s="1"/>
  <c r="Q31" i="5"/>
  <c r="G53" i="4"/>
  <c r="M56" i="5" s="1"/>
  <c r="Q260" i="2"/>
  <c r="Q27" i="5"/>
  <c r="Q17" i="5"/>
  <c r="R174" i="2"/>
  <c r="R250" i="1"/>
  <c r="I221" i="1"/>
  <c r="Q25" i="5"/>
  <c r="G23" i="3"/>
  <c r="H24" i="5" s="1"/>
  <c r="Q39" i="5"/>
  <c r="P221" i="1"/>
  <c r="P266" i="1" s="1"/>
  <c r="P300" i="1" s="1"/>
  <c r="G43" i="3"/>
  <c r="H44" i="5" s="1"/>
  <c r="P184" i="1"/>
  <c r="F31" i="3" s="1"/>
  <c r="G32" i="5" s="1"/>
  <c r="P273" i="1"/>
  <c r="P284" i="1" s="1"/>
  <c r="J276" i="1"/>
  <c r="Q12" i="5"/>
  <c r="Q24" i="5"/>
  <c r="G21" i="4"/>
  <c r="M24" i="5" s="1"/>
  <c r="J272" i="1"/>
  <c r="R276" i="1"/>
  <c r="P211" i="2"/>
  <c r="G45" i="3"/>
  <c r="H46" i="5" s="1"/>
  <c r="G15" i="3"/>
  <c r="H16" i="5" s="1"/>
  <c r="R60" i="1"/>
  <c r="G29" i="3"/>
  <c r="H30" i="5" s="1"/>
  <c r="R48" i="2"/>
  <c r="P272" i="1"/>
  <c r="F47" i="3" s="1"/>
  <c r="G48" i="5" s="1"/>
  <c r="Q291" i="1"/>
  <c r="Q298" i="1" s="1"/>
  <c r="Q18" i="5"/>
  <c r="G17" i="3"/>
  <c r="H18" i="5" s="1"/>
  <c r="G31" i="4"/>
  <c r="M34" i="5" s="1"/>
  <c r="Q34" i="5"/>
  <c r="R106" i="2"/>
  <c r="Q274" i="1"/>
  <c r="Q285" i="1" s="1"/>
  <c r="R254" i="1"/>
  <c r="G41" i="4"/>
  <c r="M44" i="5" s="1"/>
  <c r="G27" i="4"/>
  <c r="M30" i="5" s="1"/>
  <c r="R52" i="2"/>
  <c r="Q14" i="2"/>
  <c r="F8" i="4" s="1"/>
  <c r="L11" i="5" s="1"/>
  <c r="R148" i="2"/>
  <c r="R121" i="1"/>
  <c r="Q277" i="2"/>
  <c r="Q284" i="2" s="1"/>
  <c r="R225" i="1"/>
  <c r="G51" i="3"/>
  <c r="H52" i="5" s="1"/>
  <c r="G23" i="4"/>
  <c r="M26" i="5" s="1"/>
  <c r="Q261" i="2"/>
  <c r="F48" i="4" s="1"/>
  <c r="L51" i="5" s="1"/>
  <c r="J289" i="1"/>
  <c r="G9" i="4"/>
  <c r="M12" i="5" s="1"/>
  <c r="Q45" i="5"/>
  <c r="G55" i="3"/>
  <c r="H56" i="5" s="1"/>
  <c r="Q19" i="5"/>
  <c r="R296" i="1" l="1"/>
  <c r="F4" i="4"/>
  <c r="L5" i="5" s="1"/>
  <c r="F12" i="3"/>
  <c r="G13" i="5" s="1"/>
  <c r="F4" i="3"/>
  <c r="G5" i="5" s="1"/>
  <c r="F10" i="3"/>
  <c r="G11" i="5" s="1"/>
  <c r="I266" i="1"/>
  <c r="J265" i="1" s="1"/>
  <c r="D36" i="3"/>
  <c r="F54" i="3"/>
  <c r="G55" i="5" s="1"/>
  <c r="Q267" i="1"/>
  <c r="F20" i="3"/>
  <c r="G21" i="5" s="1"/>
  <c r="Q4" i="5"/>
  <c r="P299" i="1"/>
  <c r="P283" i="1"/>
  <c r="R283" i="2"/>
  <c r="Q288" i="2"/>
  <c r="Q272" i="2"/>
  <c r="Q271" i="2"/>
  <c r="R5" i="2"/>
  <c r="Q289" i="2"/>
  <c r="R100" i="1"/>
  <c r="Q268" i="1"/>
  <c r="Q302" i="1" s="1"/>
  <c r="I300" i="1"/>
  <c r="J299" i="1" s="1"/>
  <c r="R276" i="2"/>
  <c r="P286" i="2"/>
  <c r="Q254" i="2"/>
  <c r="Q94" i="2"/>
  <c r="F18" i="4" s="1"/>
  <c r="L21" i="5" s="1"/>
  <c r="G39" i="4"/>
  <c r="M42" i="5" s="1"/>
  <c r="Q46" i="5"/>
  <c r="R17" i="1"/>
  <c r="J220" i="1"/>
  <c r="G33" i="3"/>
  <c r="H34" i="5" s="1"/>
  <c r="R28" i="1"/>
  <c r="R25" i="1"/>
  <c r="R5" i="1"/>
  <c r="R21" i="1"/>
  <c r="R31" i="1"/>
  <c r="R18" i="5"/>
  <c r="R56" i="5"/>
  <c r="Q52" i="5"/>
  <c r="Q15" i="5"/>
  <c r="R289" i="1"/>
  <c r="G29" i="4"/>
  <c r="M32" i="5" s="1"/>
  <c r="G37" i="4"/>
  <c r="M40" i="5" s="1"/>
  <c r="Q41" i="5"/>
  <c r="G21" i="3"/>
  <c r="H22" i="5" s="1"/>
  <c r="Q23" i="5"/>
  <c r="R24" i="5"/>
  <c r="G39" i="3"/>
  <c r="H40" i="5" s="1"/>
  <c r="Q221" i="1"/>
  <c r="Q29" i="5"/>
  <c r="G27" i="3"/>
  <c r="H28" i="5" s="1"/>
  <c r="Q42" i="5"/>
  <c r="G41" i="3"/>
  <c r="H42" i="5" s="1"/>
  <c r="Q22" i="5"/>
  <c r="G19" i="4"/>
  <c r="M22" i="5" s="1"/>
  <c r="Q30" i="5"/>
  <c r="Q20" i="5"/>
  <c r="Q10" i="5"/>
  <c r="Q26" i="5"/>
  <c r="G25" i="3"/>
  <c r="H26" i="5" s="1"/>
  <c r="R13" i="2"/>
  <c r="Q16" i="5"/>
  <c r="G13" i="4"/>
  <c r="M16" i="5" s="1"/>
  <c r="R44" i="5"/>
  <c r="G25" i="4"/>
  <c r="M28" i="5" s="1"/>
  <c r="Q28" i="5"/>
  <c r="G11" i="4"/>
  <c r="M14" i="5" s="1"/>
  <c r="Q44" i="5"/>
  <c r="Q38" i="5"/>
  <c r="G37" i="3"/>
  <c r="H38" i="5" s="1"/>
  <c r="Q54" i="5"/>
  <c r="G13" i="3"/>
  <c r="H14" i="5" s="1"/>
  <c r="R184" i="1"/>
  <c r="Q40" i="5"/>
  <c r="Q211" i="2"/>
  <c r="F34" i="4" s="1"/>
  <c r="L37" i="5" s="1"/>
  <c r="Q273" i="1"/>
  <c r="Q50" i="5"/>
  <c r="G49" i="3"/>
  <c r="H50" i="5" s="1"/>
  <c r="R259" i="2"/>
  <c r="R30" i="5"/>
  <c r="E37" i="5" l="1"/>
  <c r="D57" i="3"/>
  <c r="F57" i="3" s="1"/>
  <c r="Q284" i="1"/>
  <c r="Q301" i="1" s="1"/>
  <c r="F48" i="3"/>
  <c r="G49" i="5" s="1"/>
  <c r="Q266" i="1"/>
  <c r="R265" i="1" s="1"/>
  <c r="F36" i="3"/>
  <c r="G37" i="5" s="1"/>
  <c r="G19" i="3"/>
  <c r="H20" i="5" s="1"/>
  <c r="R286" i="2"/>
  <c r="R270" i="2"/>
  <c r="Q51" i="5"/>
  <c r="G47" i="4"/>
  <c r="Q300" i="1"/>
  <c r="R252" i="2"/>
  <c r="Q5" i="5"/>
  <c r="G3" i="4"/>
  <c r="M4" i="5" s="1"/>
  <c r="R93" i="2"/>
  <c r="R272" i="1"/>
  <c r="Q53" i="5"/>
  <c r="G49" i="4"/>
  <c r="M52" i="5" s="1"/>
  <c r="R16" i="5"/>
  <c r="R42" i="5"/>
  <c r="R34" i="5"/>
  <c r="R38" i="5"/>
  <c r="R26" i="5"/>
  <c r="R220" i="1"/>
  <c r="G9" i="3"/>
  <c r="H10" i="5" s="1"/>
  <c r="Q13" i="5"/>
  <c r="G11" i="3"/>
  <c r="H12" i="5" s="1"/>
  <c r="G3" i="3"/>
  <c r="H4" i="5" s="1"/>
  <c r="G53" i="3"/>
  <c r="H54" i="5" s="1"/>
  <c r="R40" i="5"/>
  <c r="R22" i="5"/>
  <c r="R28" i="5"/>
  <c r="R14" i="5"/>
  <c r="Q55" i="5"/>
  <c r="G51" i="4"/>
  <c r="M54" i="5" s="1"/>
  <c r="Q48" i="5"/>
  <c r="Q32" i="5"/>
  <c r="G31" i="3"/>
  <c r="H32" i="5" s="1"/>
  <c r="Q11" i="5"/>
  <c r="G7" i="4"/>
  <c r="M10" i="5" s="1"/>
  <c r="R210" i="2"/>
  <c r="Q14" i="5"/>
  <c r="O37" i="5" l="1"/>
  <c r="M50" i="5"/>
  <c r="R50" i="5" s="1"/>
  <c r="R299" i="1"/>
  <c r="R283" i="1"/>
  <c r="R4" i="5"/>
  <c r="Q21" i="5"/>
  <c r="G17" i="4"/>
  <c r="G45" i="4"/>
  <c r="M48" i="5" s="1"/>
  <c r="R52" i="5"/>
  <c r="R12" i="5"/>
  <c r="Q36" i="5"/>
  <c r="R54" i="5"/>
  <c r="G35" i="3"/>
  <c r="Q49" i="5"/>
  <c r="Q37" i="5"/>
  <c r="G33" i="4"/>
  <c r="G47" i="3"/>
  <c r="H48" i="5" s="1"/>
  <c r="M36" i="5" l="1"/>
  <c r="H36" i="5"/>
  <c r="G57" i="3"/>
  <c r="M20" i="5"/>
  <c r="Q47" i="5"/>
  <c r="G43" i="4"/>
  <c r="G55" i="4" s="1"/>
  <c r="R48" i="5"/>
  <c r="R10" i="5"/>
  <c r="R32" i="5"/>
  <c r="R36" i="5" l="1"/>
  <c r="R20" i="5"/>
  <c r="M46" i="5"/>
  <c r="R46" i="5" s="1"/>
  <c r="F55"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<sst xmlns="http://schemas.openxmlformats.org/spreadsheetml/2006/main" count="1075" uniqueCount="126">
  <si>
    <t>คณะ/ภาควิชา</t>
  </si>
  <si>
    <t>SCH</t>
  </si>
  <si>
    <t>FTES</t>
  </si>
  <si>
    <t>FTES ปรับค่า</t>
  </si>
  <si>
    <t>FTES ปรับค่า +ป.ตรี</t>
  </si>
  <si>
    <t>FTES 
ทั้งปี
ปรับค่า</t>
  </si>
  <si>
    <t>คณะบริหารธุรกิจ</t>
  </si>
  <si>
    <t>สำนักงานจัดการศึกษา</t>
  </si>
  <si>
    <t>ปริญญาตรี</t>
  </si>
  <si>
    <t>ปริญญาโท</t>
  </si>
  <si>
    <t>ปริญญาเอก</t>
  </si>
  <si>
    <t>คณะดนตรีและการแสดง</t>
  </si>
  <si>
    <t>คณะพยาบาลศาสตร์</t>
  </si>
  <si>
    <t>คณะแพทยศาสตร์</t>
  </si>
  <si>
    <t>เวชศาสตร์ชุมชนและเวชศาสตร์ครอบครัว</t>
  </si>
  <si>
    <t>สูตินรีเวชวิทยา</t>
  </si>
  <si>
    <t>อายุรศาสตร์</t>
  </si>
  <si>
    <t>ศัลยศาสตร์</t>
  </si>
  <si>
    <t>กุมารเวชศาสตร์</t>
  </si>
  <si>
    <t>จักษุ โสต นาสิก ลาริงซ์วิทยา</t>
  </si>
  <si>
    <t>พยาธิวิทยาและนิติเวชศาสตร์</t>
  </si>
  <si>
    <t>รังสีวิทยาและเวชศาสตร์นิวเคลียร์</t>
  </si>
  <si>
    <t>รวมทั้งคณะ</t>
  </si>
  <si>
    <t>คณะภูมิสารสนเทศศาสตร์</t>
  </si>
  <si>
    <t>คณะเภสัชศาสตร์</t>
  </si>
  <si>
    <t>คณะมนุษยศาสตร์และสังคมศาสตร์</t>
  </si>
  <si>
    <t>จิตวิทยา</t>
  </si>
  <si>
    <t>นิเทศศาสตร์</t>
  </si>
  <si>
    <t>ประวัติศาสตร์</t>
  </si>
  <si>
    <t>ภาษาตะวันตก</t>
  </si>
  <si>
    <t>ภาษาตะวันออก</t>
  </si>
  <si>
    <t>ภาษาไทย</t>
  </si>
  <si>
    <t>มนุษยศาสตร์และสังคมศาสตร์</t>
  </si>
  <si>
    <t>ศาสนาและปรัชญา</t>
  </si>
  <si>
    <t>เศรษฐศาสตร์</t>
  </si>
  <si>
    <t>สังคมวิทยา</t>
  </si>
  <si>
    <t>สารสนเทศศึกษา</t>
  </si>
  <si>
    <t>คณะรัฐศาสตร์และนิติศาสตร์</t>
  </si>
  <si>
    <t>นิติศาสตร์</t>
  </si>
  <si>
    <t>รัฐศาสตร์</t>
  </si>
  <si>
    <t>รัฐประศาสนศาสตร์</t>
  </si>
  <si>
    <t>คณะโลจิสติกส์</t>
  </si>
  <si>
    <t>คณะวิทยาการสารสนเทศ</t>
  </si>
  <si>
    <t>คณะวิทยาศาสตร์</t>
  </si>
  <si>
    <t>คณิตศาสตร์</t>
  </si>
  <si>
    <t>เคมี</t>
  </si>
  <si>
    <t>จุลชีววิทยา</t>
  </si>
  <si>
    <t>ชีวเคมี</t>
  </si>
  <si>
    <t>ชีววิทยา</t>
  </si>
  <si>
    <t>เทคโนโลยีชีวภาพ</t>
  </si>
  <si>
    <t>ฟิสิกส์</t>
  </si>
  <si>
    <t>วาริชศาสตร์</t>
  </si>
  <si>
    <t>วิทยาศาสตร์</t>
  </si>
  <si>
    <t>วิทยาศาสตร์การอาหาร</t>
  </si>
  <si>
    <t>คณะวิทยาศาสตร์การกีฬา</t>
  </si>
  <si>
    <t>คณะวิศวกรรมศาสตร์</t>
  </si>
  <si>
    <t>วิศวกรรมศาสตร์</t>
  </si>
  <si>
    <t>วิศวกรรมเคมี</t>
  </si>
  <si>
    <t>วิศวกรรมเครื่องกล</t>
  </si>
  <si>
    <t>วิศวกรรมไฟฟ้า</t>
  </si>
  <si>
    <t>วิศวกรรมโยธา</t>
  </si>
  <si>
    <t>วิศวกรรมอุตสาหการ</t>
  </si>
  <si>
    <t>คณะศิลปกรรมศาสตร์</t>
  </si>
  <si>
    <t>คณะศึกษาศาสตร์</t>
  </si>
  <si>
    <t>ป.บัณฑิต</t>
  </si>
  <si>
    <t>การจัดการเรียนรู้</t>
  </si>
  <si>
    <t>การบริหารการศึกษา</t>
  </si>
  <si>
    <t>การอาชีวศึกษาและพัฒนาสังคม</t>
  </si>
  <si>
    <t>นวัตกรรมและเทคโนโลยีการศึกษา</t>
  </si>
  <si>
    <t>บัณฑิตศึกษานานาชาติการพัฒนาทรัพยากรมนุษย์</t>
  </si>
  <si>
    <t>วิจัยและจิตวิทยาประยุกต์</t>
  </si>
  <si>
    <t>คณะสหเวชศาสตร์</t>
  </si>
  <si>
    <t>คณะสาธารณสุขศาสตร์</t>
  </si>
  <si>
    <t>พื้นฐานสาธารณสุข</t>
  </si>
  <si>
    <t>สาธารณสุขศาสตร์</t>
  </si>
  <si>
    <t>สุขศาสตร์อุตสาหกรรมและความปลอดภัย</t>
  </si>
  <si>
    <t>สุขศึกษา</t>
  </si>
  <si>
    <t>อนามัยสิ่งแวดล้อม</t>
  </si>
  <si>
    <t>การสาธารณสุขชุมชน</t>
  </si>
  <si>
    <t>วิทยาลัยนานาชาติ</t>
  </si>
  <si>
    <t>วิทยาลัยวิทยาการวิจัยและวิทยาการปัญญา</t>
  </si>
  <si>
    <t>สถาบันภาษา</t>
  </si>
  <si>
    <t>รวมทั้งวิทยาเขตบางแสน</t>
  </si>
  <si>
    <t>มหาวิทยาลัยบูรพาวิทยาเขตจันทบุรี</t>
  </si>
  <si>
    <t>คณะเทคโนโลยีทางทะเล</t>
  </si>
  <si>
    <t>คณะวิทยาศาสตร์และศิลปศาสตร์</t>
  </si>
  <si>
    <t>คณะอัญมณี</t>
  </si>
  <si>
    <t>รวมทั้งวิทยาเขตจันทบุรี</t>
  </si>
  <si>
    <t>มหาวิทยาลัยบูรพาวิทยาเขตสระแก้ว</t>
  </si>
  <si>
    <t>คณะวิทยาศาสตร์และสังคมศาสตร์</t>
  </si>
  <si>
    <t>คณะเทคโนโลยีการเกษตร</t>
  </si>
  <si>
    <t>รวมทั้งวิทยาเขตสระแก้ว</t>
  </si>
  <si>
    <t>รวมทั้งมหาวิทยาลัย</t>
  </si>
  <si>
    <t>คณะ/วิทยาลัย</t>
  </si>
  <si>
    <t>ระดับ</t>
  </si>
  <si>
    <t>รวม 3 เทอม</t>
  </si>
  <si>
    <t>รวมทั้งหมด</t>
  </si>
  <si>
    <t>บัณฑิตศึกษา</t>
  </si>
  <si>
    <t>ภาคปกติ</t>
  </si>
  <si>
    <t>ภาคพิเศษ</t>
  </si>
  <si>
    <t>ภาคปกติ+พิเศษ</t>
  </si>
  <si>
    <t>2/68</t>
  </si>
  <si>
    <t>2/2568</t>
  </si>
  <si>
    <t>3/2568</t>
  </si>
  <si>
    <t>3/68</t>
  </si>
  <si>
    <t>ปิด</t>
  </si>
  <si>
    <t>ระดับ
ของวิชา</t>
  </si>
  <si>
    <t>FTES ปรับค่า 
+ป.ตรี</t>
  </si>
  <si>
    <t>พยา</t>
  </si>
  <si>
    <t>ปัญญา</t>
  </si>
  <si>
    <t>SCH
ทั้งปี</t>
  </si>
  <si>
    <t>FTES
ทั้งปี</t>
  </si>
  <si>
    <t>1/2569</t>
  </si>
  <si>
    <t>รวมทั้งปีงบประมาณ 2569</t>
  </si>
  <si>
    <t>FTES ปีงบประมาณ 2569 ภาคปกติ</t>
  </si>
  <si>
    <t>FTES ปีงบประมาณ 2569 ภาคพิเศษ</t>
  </si>
  <si>
    <t>1/69</t>
  </si>
  <si>
    <t>จำนวนนิสิตเต็มเวลา ปีงบประมาณ 2569 ภาคปกติ</t>
  </si>
  <si>
    <t>จำนวนนิสิตเต็มเวลา ปีงบประมาณ 2569 ภาคพิเศษ</t>
  </si>
  <si>
    <t>FTES ปีงบประมาณ 2569 ภาคปกติ+พิเศษ</t>
  </si>
  <si>
    <t>ภูมิสารสนเทศ</t>
  </si>
  <si>
    <t>วิทยาศาสตร์บูรณาการ</t>
  </si>
  <si>
    <t>สุขศึกษาและการส่งเสริมสุขภาพ</t>
  </si>
  <si>
    <t>คณะทันตแพทยศาสตร์</t>
  </si>
  <si>
    <t>ทันตแพทยศาสตร์</t>
  </si>
  <si>
    <t>คณะนิติศาสตร์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</si>
</sst>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7" formatCode="#,##0;;\-"/>
    <numFmt numFmtId="188" formatCode="#,##0.00;;\-"/>
    <numFmt numFmtId="189" formatCode="#,##0.0000;;\-"/>
  </numFmts>
  <fonts count="30" x14ac:knownFonts="1">
    <font>
      <sz val="11"/>
      <color theme="1"/>
      <name val="Arial"/>
    </font>
    <font>
      <sz val="16"/>
      <color theme="1"/>
      <name val="TH SarabunPSK"/>
      <family val="2"/>
      <charset val="222"/>
    </font>
    <font>
      <sz val="16"/>
      <color theme="1"/>
      <name val="TH SarabunPSK"/>
      <family val="2"/>
      <charset val="222"/>
    </font>
    <font>
      <sz val="16"/>
      <color theme="1"/>
      <name val="TH SarabunPSK"/>
      <family val="2"/>
      <charset val="222"/>
    </font>
    <font>
      <sz val="16"/>
      <color theme="1"/>
      <name val="TH SarabunPSK"/>
      <family val="2"/>
      <charset val="222"/>
    </font>
    <font>
      <b/>
      <sz val="16"/>
      <color theme="1"/>
      <name val="TH SarabunPSK"/>
      <family val="2"/>
    </font>
    <font>
      <sz val="11"/>
      <color theme="1"/>
      <name val="TH SarabunPSK"/>
      <family val="2"/>
    </font>
    <font>
      <sz val="11"/>
      <name val="TH SarabunPSK"/>
      <family val="2"/>
    </font>
    <font>
      <b/>
      <sz val="18"/>
      <color theme="1"/>
      <name val="TH SarabunPSK"/>
      <family val="2"/>
    </font>
    <font>
      <sz val="16"/>
      <color theme="1"/>
      <name val="TH SarabunPSK"/>
      <family val="2"/>
    </font>
    <font>
      <sz val="11"/>
      <color theme="1"/>
      <name val="Arial"/>
      <family val="2"/>
    </font>
    <font>
      <b/>
      <sz val="16"/>
      <color rgb="FF000000"/>
      <name val="TH SarabunPSK"/>
      <family val="2"/>
    </font>
    <font>
      <u/>
      <sz val="11"/>
      <color theme="10"/>
      <name val="Arial"/>
      <family val="2"/>
    </font>
    <font>
      <b/>
      <sz val="16"/>
      <color theme="0"/>
      <name val="TH SarabunPSK"/>
      <family val="2"/>
      <charset val="222"/>
    </font>
    <font>
      <b/>
      <sz val="16"/>
      <color theme="1"/>
      <name val="TH SarabunPSK"/>
      <family val="2"/>
      <charset val="222"/>
    </font>
    <font>
      <sz val="16"/>
      <name val="TH SarabunPSK"/>
      <family val="2"/>
      <charset val="222"/>
    </font>
    <font>
      <b/>
      <sz val="16"/>
      <name val="TH SarabunPSK"/>
      <family val="2"/>
      <charset val="222"/>
    </font>
    <font>
      <sz val="16"/>
      <color theme="1"/>
      <name val="Arial"/>
      <family val="2"/>
    </font>
    <font>
      <sz val="16"/>
      <color rgb="FF0070C0"/>
      <name val="TH SarabunPSK"/>
      <family val="2"/>
      <charset val="222"/>
    </font>
    <font>
      <sz val="16"/>
      <color rgb="FF2E75B5"/>
      <name val="TH SarabunPSK"/>
      <family val="2"/>
      <charset val="222"/>
    </font>
    <font>
      <sz val="16"/>
      <color theme="1"/>
      <name val="Arial"/>
      <family val="2"/>
      <charset val="222"/>
    </font>
    <font>
      <u/>
      <sz val="11"/>
      <color theme="10"/>
      <name val="Arial"/>
      <family val="2"/>
    </font>
    <font>
      <sz val="16"/>
      <name val="TH SarabunPSK"/>
      <family val="2"/>
    </font>
    <font>
      <sz val="14"/>
      <color theme="1"/>
      <name val="TH SarabunPSK"/>
      <family val="2"/>
    </font>
    <font>
      <sz val="15"/>
      <color theme="1"/>
      <name val="TH SarabunPSK"/>
      <family val="2"/>
    </font>
    <font>
      <b/>
      <sz val="16"/>
      <color rgb="FFECECEC"/>
      <name val="TH SarabunPSK"/>
      <family val="2"/>
      <charset val="222"/>
    </font>
    <font>
      <b/>
      <sz val="16"/>
      <color rgb="FFFBE4D5"/>
      <name val="TH SarabunPSK"/>
      <family val="2"/>
      <charset val="222"/>
    </font>
    <font>
      <b/>
      <sz val="16"/>
      <color rgb="FFA8D08D"/>
      <name val="TH SarabunPSK"/>
      <family val="2"/>
      <charset val="222"/>
    </font>
    <font>
      <b/>
      <sz val="16"/>
      <name val="TH SarabunPSK"/>
      <family val="2"/>
    </font>
    <font>
      <sz val="14"/>
      <name val="TH SarabunPSK"/>
      <family val="2"/>
    </font>
  </fonts>
  <fills count="12">
    <fill>
      <patternFill patternType="none"/>
    </fill>
    <fill>
      <patternFill patternType="gray125"/>
    </fill>
    <fill>
      <patternFill patternType="solid">
        <fgColor rgb="FFBDD6EE"/>
        <bgColor rgb="FFBDD6EE"/>
      </patternFill>
    </fill>
    <fill>
      <patternFill patternType="solid">
        <fgColor rgb="FFECECEC"/>
        <bgColor rgb="FFECECEC"/>
      </patternFill>
    </fill>
    <fill>
      <patternFill patternType="solid">
        <fgColor rgb="FFFBE4D5"/>
        <bgColor rgb="FFFBE4D5"/>
      </patternFill>
    </fill>
    <fill>
      <patternFill patternType="solid">
        <fgColor rgb="FFD0CECE"/>
        <bgColor rgb="FFD0CECE"/>
      </patternFill>
    </fill>
    <fill>
      <patternFill patternType="solid">
        <fgColor rgb="FFA8D08D"/>
        <bgColor rgb="FFA8D08D"/>
      </patternFill>
    </fill>
    <fill>
      <patternFill patternType="solid">
        <fgColor theme="8" tint="0.59999389629810485"/>
        <bgColor rgb="FFA8D08D"/>
      </patternFill>
    </fill>
    <fill>
      <patternFill patternType="solid">
        <fgColor rgb="FFECECEC"/>
        <bgColor indexed="64"/>
      </patternFill>
    </fill>
    <fill>
      <patternFill patternType="solid">
        <fgColor rgb="FFECECEC"/>
        <bgColor theme="0"/>
      </patternFill>
    </fill>
    <fill>
      <patternFill patternType="solid">
        <fgColor rgb="FFA8D08D"/>
        <bgColor indexed="64"/>
      </patternFill>
    </fill>
    <fill>
      <patternFill patternType="solid">
        <fgColor rgb="FFBDD6EE"/>
        <bgColor indexed="64"/>
      </patternFill>
    </fill>
  </fills>
  <borders count="111">
    <border>
      <left/>
      <right/>
      <top/>
      <bottom/>
      <diagonal/>
    </border>
    <border>
      <left/>
      <right/>
      <top/>
      <bottom style="thin">
        <color rgb="FF000000"/>
      </bottom>
      <diagonal/>
    </border>
    <border>
      <left style="medium">
        <color rgb="FFC00000"/>
      </left>
      <right/>
      <top style="thin">
        <color rgb="FF000000"/>
      </top>
      <bottom style="thin">
        <color rgb="FF000000"/>
      </bottom>
      <diagonal/>
    </border>
    <border>
      <left/>
      <right/>
      <top style="thin">
        <color rgb="FF000000"/>
      </top>
      <bottom style="thin">
        <color rgb="FF000000"/>
      </bottom>
      <diagonal/>
    </border>
    <border>
      <left/>
      <right style="medium">
        <color rgb="FFC00000"/>
      </right>
      <top style="thin">
        <color rgb="FF000000"/>
      </top>
      <bottom style="thin">
        <color rgb="FF000000"/>
      </bottom>
      <diagonal/>
    </border>
    <border>
      <left style="medium">
        <color rgb="FFC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C00000"/>
      </right>
      <top style="thin">
        <color rgb="FF000000"/>
      </top>
      <bottom style="thin">
        <color rgb="FF000000"/>
      </bottom>
      <diagonal/>
    </border>
    <border>
      <left style="medium">
        <color rgb="FFC00000"/>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medium">
        <color rgb="FFC00000"/>
      </right>
      <top style="thin">
        <color rgb="FF000000"/>
      </top>
      <bottom style="hair">
        <color rgb="FF000000"/>
      </bottom>
      <diagonal/>
    </border>
    <border>
      <left style="medium">
        <color rgb="FFC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medium">
        <color rgb="FFC00000"/>
      </right>
      <top style="hair">
        <color rgb="FF000000"/>
      </top>
      <bottom style="hair">
        <color rgb="FF000000"/>
      </bottom>
      <diagonal/>
    </border>
    <border>
      <left style="medium">
        <color rgb="FFC00000"/>
      </left>
      <right style="thin">
        <color rgb="FF000000"/>
      </right>
      <top style="hair">
        <color rgb="FF000000"/>
      </top>
      <bottom style="medium">
        <color rgb="FFC00000"/>
      </bottom>
      <diagonal/>
    </border>
    <border>
      <left style="thin">
        <color rgb="FF000000"/>
      </left>
      <right style="thin">
        <color rgb="FF000000"/>
      </right>
      <top style="hair">
        <color rgb="FF000000"/>
      </top>
      <bottom style="medium">
        <color rgb="FFC00000"/>
      </bottom>
      <diagonal/>
    </border>
    <border>
      <left style="thin">
        <color rgb="FF000000"/>
      </left>
      <right style="medium">
        <color rgb="FFC00000"/>
      </right>
      <top style="hair">
        <color rgb="FF000000"/>
      </top>
      <bottom style="medium">
        <color rgb="FFC00000"/>
      </bottom>
      <diagonal/>
    </border>
    <border>
      <left style="thin">
        <color rgb="FF000000"/>
      </left>
      <right style="thin">
        <color rgb="FF000000"/>
      </right>
      <top/>
      <bottom style="hair">
        <color rgb="FF000000"/>
      </bottom>
      <diagonal/>
    </border>
    <border>
      <left style="thin">
        <color rgb="FF000000"/>
      </left>
      <right style="medium">
        <color rgb="FFC00000"/>
      </right>
      <top/>
      <bottom style="hair">
        <color rgb="FF000000"/>
      </bottom>
      <diagonal/>
    </border>
    <border>
      <left/>
      <right style="thin">
        <color rgb="FF000000"/>
      </right>
      <top style="hair">
        <color rgb="FF000000"/>
      </top>
      <bottom style="hair">
        <color rgb="FF000000"/>
      </bottom>
      <diagonal/>
    </border>
    <border>
      <left style="thin">
        <color rgb="FF000000"/>
      </left>
      <right style="medium">
        <color rgb="FFC00000"/>
      </right>
      <top style="medium">
        <color rgb="FFC00000"/>
      </top>
      <bottom style="hair">
        <color rgb="FF000000"/>
      </bottom>
      <diagonal/>
    </border>
    <border>
      <left/>
      <right style="thin">
        <color rgb="FF000000"/>
      </right>
      <top style="hair">
        <color rgb="FF000000"/>
      </top>
      <bottom style="medium">
        <color rgb="FFC00000"/>
      </bottom>
      <diagonal/>
    </border>
    <border>
      <left style="thin">
        <color rgb="FF000000"/>
      </left>
      <right/>
      <top style="hair">
        <color rgb="FF000000"/>
      </top>
      <bottom style="medium">
        <color rgb="FFC00000"/>
      </bottom>
      <diagonal/>
    </border>
    <border>
      <left style="medium">
        <color rgb="FFC00000"/>
      </left>
      <right style="thin">
        <color rgb="FF000000"/>
      </right>
      <top/>
      <bottom style="hair">
        <color rgb="FF000000"/>
      </bottom>
      <diagonal/>
    </border>
    <border>
      <left/>
      <right/>
      <top style="medium">
        <color rgb="FFC00000"/>
      </top>
      <bottom/>
      <diagonal/>
    </border>
    <border>
      <left style="thin">
        <color theme="1"/>
      </left>
      <right style="thin">
        <color theme="1"/>
      </right>
      <top style="thin">
        <color theme="1"/>
      </top>
      <bottom/>
      <diagonal/>
    </border>
    <border>
      <left style="thin">
        <color theme="1"/>
      </left>
      <right style="thin">
        <color theme="1"/>
      </right>
      <top style="thin">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medium">
        <color rgb="FF000000"/>
      </right>
      <top/>
      <bottom style="hair">
        <color theme="1"/>
      </bottom>
      <diagonal/>
    </border>
    <border>
      <left style="thin">
        <color rgb="FF000000"/>
      </left>
      <right style="thin">
        <color rgb="FF000000"/>
      </right>
      <top/>
      <bottom style="hair">
        <color theme="1"/>
      </bottom>
      <diagonal/>
    </border>
    <border>
      <left style="thin">
        <color theme="1"/>
      </left>
      <right style="medium">
        <color rgb="FF000000"/>
      </right>
      <top style="hair">
        <color theme="1"/>
      </top>
      <bottom style="thin">
        <color theme="1"/>
      </bottom>
      <diagonal/>
    </border>
    <border>
      <left style="thin">
        <color rgb="FF000000"/>
      </left>
      <right style="thin">
        <color rgb="FF000000"/>
      </right>
      <top style="hair">
        <color theme="1"/>
      </top>
      <bottom style="thin">
        <color theme="1"/>
      </bottom>
      <diagonal/>
    </border>
    <border>
      <left style="thin">
        <color rgb="FF000000"/>
      </left>
      <right style="medium">
        <color rgb="FF000000"/>
      </right>
      <top style="hair">
        <color theme="1"/>
      </top>
      <bottom style="thin">
        <color theme="1"/>
      </bottom>
      <diagonal/>
    </border>
    <border>
      <left style="thin">
        <color theme="1"/>
      </left>
      <right style="medium">
        <color rgb="FF000000"/>
      </right>
      <top style="thin">
        <color theme="1"/>
      </top>
      <bottom style="hair">
        <color theme="1"/>
      </bottom>
      <diagonal/>
    </border>
    <border>
      <left style="thin">
        <color rgb="FF000000"/>
      </left>
      <right style="thin">
        <color rgb="FF000000"/>
      </right>
      <top style="thin">
        <color theme="1"/>
      </top>
      <bottom style="hair">
        <color theme="1"/>
      </bottom>
      <diagonal/>
    </border>
    <border>
      <left style="medium">
        <color rgb="FF000000"/>
      </left>
      <right style="thin">
        <color rgb="FF000000"/>
      </right>
      <top style="thin">
        <color theme="1"/>
      </top>
      <bottom style="medium">
        <color rgb="FF000000"/>
      </bottom>
      <diagonal/>
    </border>
    <border>
      <left style="thin">
        <color rgb="FF000000"/>
      </left>
      <right style="medium">
        <color rgb="FF000000"/>
      </right>
      <top style="thin">
        <color theme="1"/>
      </top>
      <bottom style="medium">
        <color rgb="FF000000"/>
      </bottom>
      <diagonal/>
    </border>
    <border>
      <left/>
      <right style="thin">
        <color rgb="FF000000"/>
      </right>
      <top style="thin">
        <color theme="1"/>
      </top>
      <bottom style="medium">
        <color rgb="FF000000"/>
      </bottom>
      <diagonal/>
    </border>
    <border>
      <left style="thin">
        <color theme="1"/>
      </left>
      <right style="thin">
        <color theme="1"/>
      </right>
      <top style="thin">
        <color rgb="FF000000"/>
      </top>
      <bottom style="thin">
        <color indexed="64"/>
      </bottom>
      <diagonal/>
    </border>
    <border>
      <left style="thin">
        <color theme="1"/>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hair">
        <color theme="1"/>
      </bottom>
      <diagonal/>
    </border>
    <border>
      <left style="thin">
        <color theme="1"/>
      </left>
      <right/>
      <top style="hair">
        <color theme="1"/>
      </top>
      <bottom style="thin">
        <color theme="1"/>
      </bottom>
      <diagonal/>
    </border>
    <border>
      <left style="thin">
        <color rgb="FF000000"/>
      </left>
      <right/>
      <top style="thin">
        <color rgb="FF000000"/>
      </top>
      <bottom style="thin">
        <color rgb="FF000000"/>
      </bottom>
      <diagonal/>
    </border>
    <border>
      <left style="thin">
        <color theme="1"/>
      </left>
      <right style="thin">
        <color theme="1"/>
      </right>
      <top style="thin">
        <color rgb="FF000000"/>
      </top>
      <bottom/>
      <diagonal/>
    </border>
    <border>
      <left style="thin">
        <color theme="1"/>
      </left>
      <right style="thin">
        <color rgb="FF000000"/>
      </right>
      <top style="thin">
        <color rgb="FF000000"/>
      </top>
      <bottom/>
      <diagonal/>
    </border>
    <border>
      <left style="thin">
        <color rgb="FF000000"/>
      </left>
      <right style="thin">
        <color theme="1"/>
      </right>
      <top style="thin">
        <color theme="1"/>
      </top>
      <bottom/>
      <diagonal/>
    </border>
    <border>
      <left style="thin">
        <color rgb="FF000000"/>
      </left>
      <right style="medium">
        <color rgb="FFC00000"/>
      </right>
      <top style="hair">
        <color rgb="FF000000"/>
      </top>
      <bottom/>
      <diagonal/>
    </border>
    <border>
      <left style="thin">
        <color rgb="FF000000"/>
      </left>
      <right style="thin">
        <color rgb="FF000000"/>
      </right>
      <top style="hair">
        <color rgb="FF000000"/>
      </top>
      <bottom/>
      <diagonal/>
    </border>
    <border>
      <left style="thin">
        <color rgb="FF000000"/>
      </left>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00000"/>
      </left>
      <right style="thin">
        <color rgb="FF000000"/>
      </right>
      <top style="hair">
        <color rgb="FF000000"/>
      </top>
      <bottom/>
      <diagonal/>
    </border>
    <border>
      <left style="medium">
        <color rgb="FFC00000"/>
      </left>
      <right/>
      <top style="hair">
        <color rgb="FF000000"/>
      </top>
      <bottom style="hair">
        <color rgb="FF000000"/>
      </bottom>
      <diagonal/>
    </border>
    <border>
      <left style="medium">
        <color rgb="FFC00000"/>
      </left>
      <right/>
      <top style="hair">
        <color rgb="FF000000"/>
      </top>
      <bottom style="medium">
        <color rgb="FFC00000"/>
      </bottom>
      <diagonal/>
    </border>
    <border>
      <left style="thin">
        <color indexed="64"/>
      </left>
      <right style="thin">
        <color indexed="64"/>
      </right>
      <top style="medium">
        <color rgb="FFC00000"/>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style="medium">
        <color rgb="FFC00000"/>
      </bottom>
      <diagonal/>
    </border>
    <border>
      <left/>
      <right/>
      <top style="medium">
        <color auto="1"/>
      </top>
      <bottom/>
      <diagonal/>
    </border>
    <border>
      <left style="medium">
        <color indexed="64"/>
      </left>
      <right/>
      <top style="medium">
        <color indexed="64"/>
      </top>
      <bottom/>
      <diagonal/>
    </border>
    <border>
      <left style="thin">
        <color rgb="FF000000"/>
      </left>
      <right style="medium">
        <color rgb="FF000000"/>
      </right>
      <top/>
      <bottom style="medium">
        <color rgb="FF000000"/>
      </bottom>
      <diagonal/>
    </border>
    <border>
      <left style="thin">
        <color theme="1"/>
      </left>
      <right style="thin">
        <color theme="1"/>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bottom style="medium">
        <color rgb="FF000000"/>
      </bottom>
      <diagonal/>
    </border>
    <border>
      <left/>
      <right style="thin">
        <color theme="1"/>
      </right>
      <top/>
      <bottom style="medium">
        <color rgb="FF000000"/>
      </bottom>
      <diagonal/>
    </border>
    <border>
      <left style="thin">
        <color theme="1"/>
      </left>
      <right style="medium">
        <color theme="1"/>
      </right>
      <top style="medium">
        <color rgb="FF000000"/>
      </top>
      <bottom style="medium">
        <color theme="1"/>
      </bottom>
      <diagonal/>
    </border>
    <border>
      <left/>
      <right style="thin">
        <color rgb="FF000000"/>
      </right>
      <top style="medium">
        <color rgb="FF000000"/>
      </top>
      <bottom style="medium">
        <color rgb="FF000000"/>
      </bottom>
      <diagonal/>
    </border>
    <border>
      <left/>
      <right style="thin">
        <color rgb="FF000000"/>
      </right>
      <top style="medium">
        <color indexed="64"/>
      </top>
      <bottom style="medium">
        <color rgb="FF000000"/>
      </bottom>
      <diagonal/>
    </border>
    <border>
      <left style="thin">
        <color theme="1"/>
      </left>
      <right style="medium">
        <color theme="1"/>
      </right>
      <top style="medium">
        <color rgb="FF000000"/>
      </top>
      <bottom style="medium">
        <color rgb="FF000000"/>
      </bottom>
      <diagonal/>
    </border>
    <border>
      <left/>
      <right style="thin">
        <color theme="1"/>
      </right>
      <top style="medium">
        <color rgb="FF000000"/>
      </top>
      <bottom style="medium">
        <color rgb="FF000000"/>
      </bottom>
      <diagonal/>
    </border>
    <border>
      <left/>
      <right style="medium">
        <color indexed="64"/>
      </right>
      <top style="medium">
        <color indexed="64"/>
      </top>
      <bottom style="medium">
        <color rgb="FF000000"/>
      </bottom>
      <diagonal/>
    </border>
    <border>
      <left style="thin">
        <color theme="1"/>
      </left>
      <right style="thin">
        <color theme="1"/>
      </right>
      <top/>
      <bottom style="medium">
        <color rgb="FF000000"/>
      </bottom>
      <diagonal/>
    </border>
    <border>
      <left/>
      <right style="thin">
        <color rgb="FF000000"/>
      </right>
      <top/>
      <bottom style="medium">
        <color rgb="FF000000"/>
      </bottom>
      <diagonal/>
    </border>
    <border>
      <left style="thin">
        <color rgb="FF000000"/>
      </left>
      <right/>
      <top style="hair">
        <color theme="1"/>
      </top>
      <bottom style="thin">
        <color theme="1"/>
      </bottom>
      <diagonal/>
    </border>
    <border>
      <left/>
      <right/>
      <top/>
      <bottom style="hair">
        <color rgb="FF000000"/>
      </bottom>
      <diagonal/>
    </border>
    <border>
      <left/>
      <right/>
      <top style="medium">
        <color rgb="FF000000"/>
      </top>
      <bottom style="medium">
        <color rgb="FF000000"/>
      </bottom>
      <diagonal/>
    </border>
    <border>
      <left/>
      <right/>
      <top style="thin">
        <color theme="1"/>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style="thin">
        <color theme="1"/>
      </left>
      <right/>
      <top/>
      <bottom style="hair">
        <color theme="1"/>
      </bottom>
      <diagonal/>
    </border>
    <border>
      <left/>
      <right style="medium">
        <color rgb="FF000000"/>
      </right>
      <top style="medium">
        <color rgb="FF000000"/>
      </top>
      <bottom style="hair">
        <color theme="1"/>
      </bottom>
      <diagonal/>
    </border>
    <border>
      <left/>
      <right style="medium">
        <color rgb="FF000000"/>
      </right>
      <top style="hair">
        <color theme="1"/>
      </top>
      <bottom style="thin">
        <color theme="1"/>
      </bottom>
      <diagonal/>
    </border>
    <border>
      <left/>
      <right style="medium">
        <color rgb="FF000000"/>
      </right>
      <top/>
      <bottom style="hair">
        <color theme="1"/>
      </bottom>
      <diagonal/>
    </border>
    <border>
      <left/>
      <right style="medium">
        <color rgb="FF000000"/>
      </right>
      <top style="thin">
        <color theme="1"/>
      </top>
      <bottom style="hair">
        <color theme="1"/>
      </bottom>
      <diagonal/>
    </border>
    <border>
      <left style="medium">
        <color rgb="FFC00000"/>
      </left>
      <right style="thin">
        <color rgb="FF000000"/>
      </right>
      <top style="medium">
        <color rgb="FFC00000"/>
      </top>
      <bottom style="hair">
        <color rgb="FF000000"/>
      </bottom>
      <diagonal/>
    </border>
    <border>
      <left/>
      <right/>
      <top style="hair">
        <color rgb="FF000000"/>
      </top>
      <bottom style="hair">
        <color rgb="FF000000"/>
      </bottom>
      <diagonal/>
    </border>
    <border>
      <left style="medium">
        <color rgb="FFC00000"/>
      </left>
      <right style="medium">
        <color rgb="FFC00000"/>
      </right>
      <top style="thin">
        <color rgb="FF000000"/>
      </top>
      <bottom/>
      <diagonal/>
    </border>
    <border>
      <left style="medium">
        <color rgb="FFC00000"/>
      </left>
      <right style="medium">
        <color rgb="FFC00000"/>
      </right>
      <top/>
      <bottom style="thin">
        <color rgb="FF000000"/>
      </bottom>
      <diagonal/>
    </border>
    <border>
      <left style="medium">
        <color rgb="FFC00000"/>
      </left>
      <right style="medium">
        <color rgb="FFC00000"/>
      </right>
      <top style="thin">
        <color rgb="FF000000"/>
      </top>
      <bottom style="hair">
        <color rgb="FF000000"/>
      </bottom>
      <diagonal/>
    </border>
    <border>
      <left style="medium">
        <color rgb="FFC00000"/>
      </left>
      <right style="medium">
        <color rgb="FFC00000"/>
      </right>
      <top style="hair">
        <color rgb="FF000000"/>
      </top>
      <bottom style="hair">
        <color rgb="FF000000"/>
      </bottom>
      <diagonal/>
    </border>
    <border>
      <left style="medium">
        <color rgb="FFC00000"/>
      </left>
      <right style="medium">
        <color rgb="FFC00000"/>
      </right>
      <top style="hair">
        <color rgb="FF000000"/>
      </top>
      <bottom style="medium">
        <color rgb="FFC00000"/>
      </bottom>
      <diagonal/>
    </border>
    <border>
      <left style="medium">
        <color rgb="FFC00000"/>
      </left>
      <right style="medium">
        <color rgb="FFC00000"/>
      </right>
      <top/>
      <bottom style="hair">
        <color rgb="FF000000"/>
      </bottom>
      <diagonal/>
    </border>
    <border>
      <left style="medium">
        <color rgb="FFC00000"/>
      </left>
      <right style="medium">
        <color rgb="FFC00000"/>
      </right>
      <top style="hair">
        <color rgb="FF000000"/>
      </top>
      <bottom/>
      <diagonal/>
    </border>
    <border>
      <left style="thin">
        <color rgb="FF000000"/>
      </left>
      <right/>
      <top/>
      <bottom style="hair">
        <color theme="1"/>
      </bottom>
      <diagonal/>
    </border>
    <border>
      <left style="thin">
        <color rgb="FF000000"/>
      </left>
      <right/>
      <top style="thin">
        <color theme="1"/>
      </top>
      <bottom style="hair">
        <color theme="1"/>
      </bottom>
      <diagonal/>
    </border>
    <border>
      <left style="medium">
        <color rgb="FF000000"/>
      </left>
      <right style="thin">
        <color rgb="FF000000"/>
      </right>
      <top style="medium">
        <color rgb="FF000000"/>
      </top>
      <bottom style="hair">
        <color theme="1"/>
      </bottom>
      <diagonal/>
    </border>
    <border>
      <left style="medium">
        <color rgb="FF000000"/>
      </left>
      <right style="thin">
        <color rgb="FF000000"/>
      </right>
      <top style="hair">
        <color theme="1"/>
      </top>
      <bottom style="thin">
        <color theme="1"/>
      </bottom>
      <diagonal/>
    </border>
    <border>
      <left style="medium">
        <color rgb="FF000000"/>
      </left>
      <right style="thin">
        <color rgb="FF000000"/>
      </right>
      <top/>
      <bottom style="hair">
        <color theme="1"/>
      </bottom>
      <diagonal/>
    </border>
    <border>
      <left style="medium">
        <color rgb="FF000000"/>
      </left>
      <right style="thin">
        <color rgb="FF000000"/>
      </right>
      <top style="thin">
        <color theme="1"/>
      </top>
      <bottom style="hair">
        <color theme="1"/>
      </bottom>
      <diagonal/>
    </border>
    <border>
      <left style="thin">
        <color theme="1"/>
      </left>
      <right/>
      <top/>
      <bottom style="thin">
        <color theme="1"/>
      </bottom>
      <diagonal/>
    </border>
    <border>
      <left style="thin">
        <color theme="1"/>
      </left>
      <right style="thin">
        <color theme="1"/>
      </right>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theme="1"/>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C00000"/>
      </top>
      <bottom style="hair">
        <color rgb="FF000000"/>
      </bottom>
      <diagonal/>
    </border>
    <border>
      <left style="medium">
        <color rgb="FF000000"/>
      </left>
      <right style="thin">
        <color rgb="FF000000"/>
      </right>
      <top style="hair">
        <color theme="1"/>
      </top>
      <bottom style="thin">
        <color rgb="FF000000"/>
      </bottom>
      <diagonal/>
    </border>
    <border>
      <left style="thin">
        <color rgb="FF000000"/>
      </left>
      <right style="medium">
        <color rgb="FF000000"/>
      </right>
      <top style="medium">
        <color rgb="FF000000"/>
      </top>
      <bottom style="hair">
        <color theme="1"/>
      </bottom>
      <diagonal/>
    </border>
    <border>
      <left style="thin">
        <color rgb="FF000000"/>
      </left>
      <right style="medium">
        <color rgb="FF000000"/>
      </right>
      <top/>
      <bottom style="hair">
        <color theme="1"/>
      </bottom>
      <diagonal/>
    </border>
    <border>
      <left/>
      <right style="medium">
        <color rgb="FF000000"/>
      </right>
      <top style="thin">
        <color theme="1"/>
      </top>
      <bottom style="medium">
        <color rgb="FF000000"/>
      </bottom>
      <diagonal/>
    </border>
  </borders>
  <cellStyleXfs count="3">
    <xf numFmtId="0" fontId="0" fillId="0" borderId="0"/>
    <xf numFmtId="0" fontId="10" fillId="0" borderId="0"/>
    <xf numFmtId="0" fontId="12" fillId="0" borderId="0" applyNumberFormat="0" applyFill="0" applyBorder="0" applyAlignment="0" applyProtection="0"/>
  </cellStyleXfs>
  <cellXfs count="301">
    <xf numFmtId="0" fontId="0" fillId="0" borderId="0" xfId="0"/>
    <xf numFmtId="0" fontId="5" fillId="0" borderId="1" xfId="0" applyFont="1" applyBorder="1"/>
    <xf numFmtId="0" fontId="6" fillId="0" borderId="0" xfId="0" applyFont="1"/>
    <xf numFmtId="0" fontId="8" fillId="0" borderId="0" xfId="0" applyFont="1"/>
    <xf numFmtId="0" fontId="9" fillId="0" borderId="0" xfId="0" applyFont="1"/>
    <xf numFmtId="0" fontId="9" fillId="0" borderId="26" xfId="0" applyFont="1" applyBorder="1"/>
    <xf numFmtId="0" fontId="9" fillId="0" borderId="28" xfId="0" applyFont="1" applyBorder="1"/>
    <xf numFmtId="0" fontId="9" fillId="0" borderId="30" xfId="0" applyFont="1" applyBorder="1"/>
    <xf numFmtId="0" fontId="9" fillId="0" borderId="33" xfId="0" applyFont="1" applyBorder="1"/>
    <xf numFmtId="0" fontId="9" fillId="0" borderId="41" xfId="0" applyFont="1" applyBorder="1"/>
    <xf numFmtId="0" fontId="5" fillId="0" borderId="0" xfId="0" applyFont="1"/>
    <xf numFmtId="188" fontId="9" fillId="0" borderId="29" xfId="0" applyNumberFormat="1" applyFont="1" applyBorder="1" applyAlignment="1">
      <alignment horizontal="center"/>
    </xf>
    <xf numFmtId="188" fontId="9" fillId="0" borderId="31" xfId="0" applyNumberFormat="1" applyFont="1" applyBorder="1" applyAlignment="1">
      <alignment horizontal="center"/>
    </xf>
    <xf numFmtId="188" fontId="9" fillId="0" borderId="34" xfId="0" applyNumberFormat="1" applyFont="1" applyBorder="1" applyAlignment="1">
      <alignment horizontal="center"/>
    </xf>
    <xf numFmtId="189" fontId="6" fillId="0" borderId="0" xfId="0" applyNumberFormat="1" applyFont="1"/>
    <xf numFmtId="188" fontId="5" fillId="10" borderId="6" xfId="0" applyNumberFormat="1" applyFont="1" applyFill="1" applyBorder="1" applyAlignment="1">
      <alignment horizontal="center"/>
    </xf>
    <xf numFmtId="188" fontId="5" fillId="10" borderId="40" xfId="0" applyNumberFormat="1" applyFont="1" applyFill="1" applyBorder="1" applyAlignment="1">
      <alignment horizontal="center"/>
    </xf>
    <xf numFmtId="0" fontId="5" fillId="11" borderId="46" xfId="0" applyFont="1" applyFill="1" applyBorder="1" applyAlignment="1">
      <alignment horizontal="center" vertical="center"/>
    </xf>
    <xf numFmtId="0" fontId="5" fillId="11" borderId="25" xfId="0" applyFont="1" applyFill="1" applyBorder="1" applyAlignment="1">
      <alignment horizontal="center" vertical="center"/>
    </xf>
    <xf numFmtId="0" fontId="5" fillId="10" borderId="25" xfId="0" applyFont="1" applyFill="1" applyBorder="1" applyAlignment="1">
      <alignment horizontal="center" vertical="center"/>
    </xf>
    <xf numFmtId="188" fontId="4" fillId="0" borderId="12" xfId="0" applyNumberFormat="1" applyFont="1" applyBorder="1" applyAlignment="1">
      <alignment horizontal="center"/>
    </xf>
    <xf numFmtId="188" fontId="4" fillId="0" borderId="13" xfId="0" applyNumberFormat="1" applyFont="1" applyBorder="1" applyAlignment="1">
      <alignment horizontal="center"/>
    </xf>
    <xf numFmtId="188" fontId="4" fillId="3" borderId="12" xfId="0" applyNumberFormat="1" applyFont="1" applyFill="1" applyBorder="1" applyAlignment="1">
      <alignment horizontal="center"/>
    </xf>
    <xf numFmtId="188" fontId="14" fillId="3" borderId="13" xfId="0" applyNumberFormat="1" applyFont="1" applyFill="1" applyBorder="1" applyAlignment="1">
      <alignment horizontal="center"/>
    </xf>
    <xf numFmtId="188" fontId="4" fillId="0" borderId="15" xfId="0" applyNumberFormat="1" applyFont="1" applyBorder="1" applyAlignment="1">
      <alignment horizontal="center"/>
    </xf>
    <xf numFmtId="188" fontId="4" fillId="0" borderId="16" xfId="0" applyNumberFormat="1" applyFont="1" applyBorder="1" applyAlignment="1">
      <alignment horizontal="center"/>
    </xf>
    <xf numFmtId="188" fontId="4" fillId="3" borderId="15" xfId="0" applyNumberFormat="1" applyFont="1" applyFill="1" applyBorder="1" applyAlignment="1">
      <alignment horizontal="center"/>
    </xf>
    <xf numFmtId="188" fontId="14" fillId="3" borderId="16" xfId="0" applyNumberFormat="1" applyFont="1" applyFill="1" applyBorder="1" applyAlignment="1">
      <alignment horizontal="center"/>
    </xf>
    <xf numFmtId="188" fontId="4" fillId="0" borderId="17" xfId="0" applyNumberFormat="1" applyFont="1" applyBorder="1" applyAlignment="1">
      <alignment horizontal="center"/>
    </xf>
    <xf numFmtId="188" fontId="4" fillId="0" borderId="18" xfId="0" applyNumberFormat="1" applyFont="1" applyBorder="1" applyAlignment="1">
      <alignment horizontal="center"/>
    </xf>
    <xf numFmtId="188" fontId="4" fillId="3" borderId="17" xfId="0" applyNumberFormat="1" applyFont="1" applyFill="1" applyBorder="1" applyAlignment="1">
      <alignment horizontal="center"/>
    </xf>
    <xf numFmtId="188" fontId="14" fillId="3" borderId="18" xfId="0" applyNumberFormat="1" applyFont="1" applyFill="1" applyBorder="1" applyAlignment="1">
      <alignment horizontal="center"/>
    </xf>
    <xf numFmtId="188" fontId="14" fillId="8" borderId="12" xfId="0" applyNumberFormat="1" applyFont="1" applyFill="1" applyBorder="1" applyAlignment="1">
      <alignment horizontal="center"/>
    </xf>
    <xf numFmtId="188" fontId="14" fillId="8" borderId="13" xfId="0" applyNumberFormat="1" applyFont="1" applyFill="1" applyBorder="1" applyAlignment="1">
      <alignment horizontal="center"/>
    </xf>
    <xf numFmtId="188" fontId="14" fillId="3" borderId="12" xfId="0" applyNumberFormat="1" applyFont="1" applyFill="1" applyBorder="1" applyAlignment="1">
      <alignment horizontal="center"/>
    </xf>
    <xf numFmtId="188" fontId="14" fillId="8" borderId="15" xfId="0" applyNumberFormat="1" applyFont="1" applyFill="1" applyBorder="1" applyAlignment="1">
      <alignment horizontal="center"/>
    </xf>
    <xf numFmtId="188" fontId="14" fillId="8" borderId="16" xfId="0" applyNumberFormat="1" applyFont="1" applyFill="1" applyBorder="1" applyAlignment="1">
      <alignment horizontal="center"/>
    </xf>
    <xf numFmtId="188" fontId="14" fillId="3" borderId="15" xfId="0" applyNumberFormat="1" applyFont="1" applyFill="1" applyBorder="1" applyAlignment="1">
      <alignment horizontal="center"/>
    </xf>
    <xf numFmtId="188" fontId="4" fillId="0" borderId="48" xfId="0" applyNumberFormat="1" applyFont="1" applyBorder="1" applyAlignment="1">
      <alignment horizontal="center"/>
    </xf>
    <xf numFmtId="188" fontId="4" fillId="0" borderId="47" xfId="0" applyNumberFormat="1" applyFont="1" applyBorder="1" applyAlignment="1">
      <alignment horizontal="center"/>
    </xf>
    <xf numFmtId="188" fontId="14" fillId="4" borderId="19" xfId="0" applyNumberFormat="1" applyFont="1" applyFill="1" applyBorder="1" applyAlignment="1">
      <alignment horizontal="center"/>
    </xf>
    <xf numFmtId="188" fontId="14" fillId="4" borderId="20" xfId="0" applyNumberFormat="1" applyFont="1" applyFill="1" applyBorder="1" applyAlignment="1">
      <alignment horizontal="center"/>
    </xf>
    <xf numFmtId="188" fontId="14" fillId="4" borderId="54" xfId="0" applyNumberFormat="1" applyFont="1" applyFill="1" applyBorder="1" applyAlignment="1">
      <alignment horizontal="center"/>
    </xf>
    <xf numFmtId="188" fontId="14" fillId="4" borderId="56" xfId="0" applyNumberFormat="1" applyFont="1" applyFill="1" applyBorder="1" applyAlignment="1">
      <alignment horizontal="center"/>
    </xf>
    <xf numFmtId="188" fontId="14" fillId="4" borderId="12" xfId="0" applyNumberFormat="1" applyFont="1" applyFill="1" applyBorder="1" applyAlignment="1">
      <alignment horizontal="center"/>
    </xf>
    <xf numFmtId="188" fontId="14" fillId="4" borderId="13" xfId="0" applyNumberFormat="1" applyFont="1" applyFill="1" applyBorder="1" applyAlignment="1">
      <alignment horizontal="center"/>
    </xf>
    <xf numFmtId="188" fontId="14" fillId="4" borderId="57" xfId="0" applyNumberFormat="1" applyFont="1" applyFill="1" applyBorder="1" applyAlignment="1">
      <alignment horizontal="center"/>
    </xf>
    <xf numFmtId="188" fontId="14" fillId="4" borderId="21" xfId="0" applyNumberFormat="1" applyFont="1" applyFill="1" applyBorder="1" applyAlignment="1">
      <alignment horizontal="center"/>
    </xf>
    <xf numFmtId="188" fontId="14" fillId="4" borderId="16" xfId="0" applyNumberFormat="1" applyFont="1" applyFill="1" applyBorder="1" applyAlignment="1">
      <alignment horizontal="center"/>
    </xf>
    <xf numFmtId="188" fontId="14" fillId="4" borderId="55" xfId="0" applyNumberFormat="1" applyFont="1" applyFill="1" applyBorder="1" applyAlignment="1">
      <alignment horizontal="center"/>
    </xf>
    <xf numFmtId="188" fontId="14" fillId="4" borderId="58" xfId="0" applyNumberFormat="1" applyFont="1" applyFill="1" applyBorder="1" applyAlignment="1">
      <alignment horizontal="center"/>
    </xf>
    <xf numFmtId="0" fontId="17" fillId="0" borderId="0" xfId="0" applyFont="1"/>
    <xf numFmtId="188" fontId="4" fillId="5" borderId="75" xfId="0" applyNumberFormat="1" applyFont="1" applyFill="1" applyBorder="1" applyAlignment="1">
      <alignment horizontal="center"/>
    </xf>
    <xf numFmtId="188" fontId="14" fillId="5" borderId="75" xfId="0" applyNumberFormat="1" applyFont="1" applyFill="1" applyBorder="1" applyAlignment="1">
      <alignment horizontal="center"/>
    </xf>
    <xf numFmtId="188" fontId="14" fillId="4" borderId="15" xfId="0" applyNumberFormat="1" applyFont="1" applyFill="1" applyBorder="1" applyAlignment="1">
      <alignment horizontal="center"/>
    </xf>
    <xf numFmtId="188" fontId="14" fillId="0" borderId="24" xfId="0" applyNumberFormat="1" applyFont="1" applyBorder="1" applyAlignment="1">
      <alignment horizontal="center"/>
    </xf>
    <xf numFmtId="188" fontId="14" fillId="6" borderId="17" xfId="0" applyNumberFormat="1" applyFont="1" applyFill="1" applyBorder="1" applyAlignment="1">
      <alignment horizontal="center"/>
    </xf>
    <xf numFmtId="188" fontId="14" fillId="6" borderId="18" xfId="0" applyNumberFormat="1" applyFont="1" applyFill="1" applyBorder="1" applyAlignment="1">
      <alignment horizontal="center"/>
    </xf>
    <xf numFmtId="188" fontId="14" fillId="6" borderId="12" xfId="0" applyNumberFormat="1" applyFont="1" applyFill="1" applyBorder="1" applyAlignment="1">
      <alignment horizontal="center"/>
    </xf>
    <xf numFmtId="188" fontId="14" fillId="6" borderId="13" xfId="0" applyNumberFormat="1" applyFont="1" applyFill="1" applyBorder="1" applyAlignment="1">
      <alignment horizontal="center"/>
    </xf>
    <xf numFmtId="188" fontId="14" fillId="6" borderId="15" xfId="0" applyNumberFormat="1" applyFont="1" applyFill="1" applyBorder="1" applyAlignment="1">
      <alignment horizontal="center"/>
    </xf>
    <xf numFmtId="188" fontId="14" fillId="6" borderId="16" xfId="0" applyNumberFormat="1" applyFont="1" applyFill="1" applyBorder="1" applyAlignment="1">
      <alignment horizontal="center"/>
    </xf>
    <xf numFmtId="0" fontId="14" fillId="0" borderId="1" xfId="0" applyFont="1" applyBorder="1"/>
    <xf numFmtId="0" fontId="15" fillId="0" borderId="0" xfId="0" applyFont="1"/>
    <xf numFmtId="0" fontId="4" fillId="0" borderId="0" xfId="0" applyFont="1"/>
    <xf numFmtId="0" fontId="14" fillId="0" borderId="0" xfId="0" applyFont="1"/>
    <xf numFmtId="188" fontId="14" fillId="3" borderId="17" xfId="0" applyNumberFormat="1" applyFont="1" applyFill="1" applyBorder="1" applyAlignment="1">
      <alignment horizontal="center"/>
    </xf>
    <xf numFmtId="0" fontId="18" fillId="0" borderId="0" xfId="0" applyFont="1"/>
    <xf numFmtId="0" fontId="4" fillId="0" borderId="0" xfId="0" applyFont="1" applyAlignment="1">
      <alignment horizontal="center"/>
    </xf>
    <xf numFmtId="187" fontId="4" fillId="0" borderId="0" xfId="0" applyNumberFormat="1" applyFont="1" applyAlignment="1">
      <alignment horizontal="center"/>
    </xf>
    <xf numFmtId="0" fontId="19" fillId="0" borderId="0" xfId="0" applyFont="1"/>
    <xf numFmtId="0" fontId="20" fillId="0" borderId="0" xfId="0" applyFont="1"/>
    <xf numFmtId="0" fontId="14" fillId="0" borderId="24" xfId="0" applyFont="1" applyBorder="1"/>
    <xf numFmtId="0" fontId="13" fillId="0" borderId="1" xfId="0" applyFont="1" applyBorder="1"/>
    <xf numFmtId="187" fontId="14" fillId="2" borderId="5" xfId="0" applyNumberFormat="1" applyFont="1" applyFill="1" applyBorder="1" applyAlignment="1">
      <alignment horizontal="center" vertical="center"/>
    </xf>
    <xf numFmtId="188" fontId="14" fillId="2" borderId="6" xfId="0" applyNumberFormat="1" applyFont="1" applyFill="1" applyBorder="1" applyAlignment="1">
      <alignment horizontal="center" vertical="center"/>
    </xf>
    <xf numFmtId="188" fontId="14" fillId="2" borderId="6" xfId="0" applyNumberFormat="1" applyFont="1" applyFill="1" applyBorder="1" applyAlignment="1">
      <alignment horizontal="center" vertical="center" wrapText="1"/>
    </xf>
    <xf numFmtId="188" fontId="14" fillId="2" borderId="7" xfId="0" applyNumberFormat="1" applyFont="1" applyFill="1" applyBorder="1" applyAlignment="1">
      <alignment horizontal="center" vertical="center" wrapText="1"/>
    </xf>
    <xf numFmtId="187" fontId="16" fillId="2" borderId="5" xfId="0" applyNumberFormat="1" applyFont="1" applyFill="1" applyBorder="1" applyAlignment="1">
      <alignment horizontal="center" vertical="center"/>
    </xf>
    <xf numFmtId="188" fontId="4" fillId="0" borderId="23" xfId="0" applyNumberFormat="1" applyFont="1" applyBorder="1" applyAlignment="1">
      <alignment horizontal="center"/>
    </xf>
    <xf numFmtId="188" fontId="15" fillId="0" borderId="23" xfId="0" applyNumberFormat="1" applyFont="1" applyBorder="1" applyAlignment="1">
      <alignment horizontal="center"/>
    </xf>
    <xf numFmtId="188" fontId="4" fillId="0" borderId="11" xfId="0" applyNumberFormat="1" applyFont="1" applyBorder="1" applyAlignment="1">
      <alignment horizontal="center"/>
    </xf>
    <xf numFmtId="188" fontId="15" fillId="0" borderId="11" xfId="0" applyNumberFormat="1" applyFont="1" applyBorder="1" applyAlignment="1">
      <alignment horizontal="center"/>
    </xf>
    <xf numFmtId="188" fontId="4" fillId="0" borderId="14" xfId="0" applyNumberFormat="1" applyFont="1" applyBorder="1" applyAlignment="1">
      <alignment horizontal="center"/>
    </xf>
    <xf numFmtId="188" fontId="15" fillId="0" borderId="14" xfId="0" applyNumberFormat="1" applyFont="1" applyBorder="1" applyAlignment="1">
      <alignment horizontal="center"/>
    </xf>
    <xf numFmtId="188" fontId="14" fillId="0" borderId="8" xfId="0" applyNumberFormat="1" applyFont="1" applyBorder="1" applyAlignment="1">
      <alignment horizontal="center"/>
    </xf>
    <xf numFmtId="188" fontId="4" fillId="0" borderId="9" xfId="0" applyNumberFormat="1" applyFont="1" applyBorder="1" applyAlignment="1">
      <alignment horizontal="center"/>
    </xf>
    <xf numFmtId="188" fontId="4" fillId="0" borderId="10" xfId="0" applyNumberFormat="1" applyFont="1" applyBorder="1" applyAlignment="1">
      <alignment horizontal="center"/>
    </xf>
    <xf numFmtId="188" fontId="16" fillId="0" borderId="8" xfId="0" applyNumberFormat="1" applyFont="1" applyBorder="1" applyAlignment="1">
      <alignment horizontal="center"/>
    </xf>
    <xf numFmtId="188" fontId="4" fillId="3" borderId="9" xfId="0" applyNumberFormat="1" applyFont="1" applyFill="1" applyBorder="1" applyAlignment="1">
      <alignment horizontal="center"/>
    </xf>
    <xf numFmtId="188" fontId="14" fillId="3" borderId="10" xfId="0" applyNumberFormat="1" applyFont="1" applyFill="1" applyBorder="1" applyAlignment="1">
      <alignment horizontal="center"/>
    </xf>
    <xf numFmtId="188" fontId="4" fillId="0" borderId="22" xfId="0" applyNumberFormat="1" applyFont="1" applyBorder="1" applyAlignment="1">
      <alignment horizontal="center"/>
    </xf>
    <xf numFmtId="188" fontId="4" fillId="3" borderId="14" xfId="0" applyNumberFormat="1" applyFont="1" applyFill="1" applyBorder="1" applyAlignment="1">
      <alignment horizontal="center"/>
    </xf>
    <xf numFmtId="188" fontId="14" fillId="8" borderId="11" xfId="0" applyNumberFormat="1" applyFont="1" applyFill="1" applyBorder="1" applyAlignment="1">
      <alignment horizontal="center"/>
    </xf>
    <xf numFmtId="188" fontId="14" fillId="8" borderId="14" xfId="0" applyNumberFormat="1" applyFont="1" applyFill="1" applyBorder="1" applyAlignment="1">
      <alignment horizontal="center"/>
    </xf>
    <xf numFmtId="188" fontId="16" fillId="8" borderId="11" xfId="0" applyNumberFormat="1" applyFont="1" applyFill="1" applyBorder="1" applyAlignment="1">
      <alignment horizontal="center"/>
    </xf>
    <xf numFmtId="188" fontId="16" fillId="8" borderId="14" xfId="0" applyNumberFormat="1" applyFont="1" applyFill="1" applyBorder="1" applyAlignment="1">
      <alignment horizontal="center"/>
    </xf>
    <xf numFmtId="188" fontId="15" fillId="0" borderId="53" xfId="0" applyNumberFormat="1" applyFont="1" applyBorder="1" applyAlignment="1">
      <alignment horizontal="center"/>
    </xf>
    <xf numFmtId="188" fontId="14" fillId="8" borderId="17" xfId="0" applyNumberFormat="1" applyFont="1" applyFill="1" applyBorder="1" applyAlignment="1">
      <alignment horizontal="center"/>
    </xf>
    <xf numFmtId="188" fontId="14" fillId="8" borderId="18" xfId="0" applyNumberFormat="1" applyFont="1" applyFill="1" applyBorder="1" applyAlignment="1">
      <alignment horizontal="center"/>
    </xf>
    <xf numFmtId="188" fontId="4" fillId="0" borderId="0" xfId="0" applyNumberFormat="1" applyFont="1" applyAlignment="1">
      <alignment horizontal="center"/>
    </xf>
    <xf numFmtId="187" fontId="15" fillId="0" borderId="0" xfId="0" applyNumberFormat="1" applyFont="1" applyAlignment="1">
      <alignment horizontal="center"/>
    </xf>
    <xf numFmtId="188" fontId="14" fillId="0" borderId="0" xfId="0" applyNumberFormat="1" applyFont="1" applyAlignment="1">
      <alignment horizontal="center"/>
    </xf>
    <xf numFmtId="0" fontId="5" fillId="10" borderId="6" xfId="0" applyFont="1" applyFill="1" applyBorder="1" applyAlignment="1">
      <alignment horizontal="centerContinuous"/>
    </xf>
    <xf numFmtId="0" fontId="5" fillId="10" borderId="43" xfId="0" applyFont="1" applyFill="1" applyBorder="1" applyAlignment="1">
      <alignment horizontal="centerContinuous"/>
    </xf>
    <xf numFmtId="0" fontId="5" fillId="10" borderId="35" xfId="0" applyFont="1" applyFill="1" applyBorder="1" applyAlignment="1">
      <alignment horizontal="centerContinuous"/>
    </xf>
    <xf numFmtId="0" fontId="5" fillId="10" borderId="36" xfId="0" applyFont="1" applyFill="1" applyBorder="1" applyAlignment="1">
      <alignment horizontal="centerContinuous"/>
    </xf>
    <xf numFmtId="188" fontId="5" fillId="10" borderId="37" xfId="0" applyNumberFormat="1" applyFont="1" applyFill="1" applyBorder="1" applyAlignment="1">
      <alignment horizontal="center"/>
    </xf>
    <xf numFmtId="0" fontId="12" fillId="0" borderId="1" xfId="2" applyBorder="1" applyAlignment="1">
      <alignment horizontal="center"/>
    </xf>
    <xf numFmtId="0" fontId="13" fillId="0" borderId="1" xfId="0" applyFont="1" applyBorder="1" applyAlignment="1">
      <alignment horizontal="center"/>
    </xf>
    <xf numFmtId="0" fontId="21" fillId="0" borderId="0" xfId="2" applyFont="1" applyAlignment="1">
      <alignment horizontal="center" vertical="center" wrapText="1"/>
    </xf>
    <xf numFmtId="0" fontId="9" fillId="0" borderId="0" xfId="0" applyFont="1" applyAlignment="1">
      <alignment horizontal="center"/>
    </xf>
    <xf numFmtId="0" fontId="5" fillId="10" borderId="77" xfId="0" applyFont="1" applyFill="1" applyBorder="1" applyAlignment="1">
      <alignment horizontal="centerContinuous"/>
    </xf>
    <xf numFmtId="0" fontId="17" fillId="0" borderId="1" xfId="0" applyFont="1" applyBorder="1" applyAlignment="1">
      <alignment horizontal="center" vertical="center"/>
    </xf>
    <xf numFmtId="0" fontId="12" fillId="0" borderId="1" xfId="2" applyBorder="1" applyAlignment="1">
      <alignment horizontal="center" vertical="center"/>
    </xf>
    <xf numFmtId="0" fontId="15" fillId="0" borderId="0" xfId="0" applyFont="1" applyAlignment="1">
      <alignment horizontal="center"/>
    </xf>
    <xf numFmtId="0" fontId="22" fillId="0" borderId="41" xfId="0" applyFont="1" applyBorder="1"/>
    <xf numFmtId="0" fontId="9" fillId="0" borderId="81" xfId="0" applyFont="1" applyBorder="1"/>
    <xf numFmtId="0" fontId="9" fillId="0" borderId="82" xfId="0" applyFont="1" applyBorder="1"/>
    <xf numFmtId="0" fontId="9" fillId="0" borderId="84" xfId="0" applyFont="1" applyBorder="1"/>
    <xf numFmtId="0" fontId="9" fillId="0" borderId="85" xfId="0" applyFont="1" applyBorder="1"/>
    <xf numFmtId="188" fontId="22" fillId="0" borderId="41" xfId="0" applyNumberFormat="1" applyFont="1" applyBorder="1" applyAlignment="1">
      <alignment horizontal="center"/>
    </xf>
    <xf numFmtId="0" fontId="17" fillId="0" borderId="1" xfId="0" applyFont="1" applyBorder="1" applyAlignment="1">
      <alignment horizontal="centerContinuous" vertical="center"/>
    </xf>
    <xf numFmtId="0" fontId="12" fillId="0" borderId="1" xfId="2" applyBorder="1" applyAlignment="1">
      <alignment horizontal="centerContinuous" vertical="center"/>
    </xf>
    <xf numFmtId="0" fontId="13" fillId="0" borderId="1" xfId="0" applyFont="1" applyBorder="1" applyAlignment="1">
      <alignment horizontal="centerContinuous"/>
    </xf>
    <xf numFmtId="0" fontId="24" fillId="0" borderId="42" xfId="0" applyFont="1" applyBorder="1" applyAlignment="1">
      <alignment horizontal="center"/>
    </xf>
    <xf numFmtId="0" fontId="24" fillId="0" borderId="83" xfId="0" applyFont="1" applyBorder="1" applyAlignment="1">
      <alignment horizontal="center"/>
    </xf>
    <xf numFmtId="0" fontId="22" fillId="0" borderId="41" xfId="0" applyFont="1" applyBorder="1" applyAlignment="1">
      <alignment horizontal="left"/>
    </xf>
    <xf numFmtId="188" fontId="14" fillId="4" borderId="86" xfId="0" applyNumberFormat="1" applyFont="1" applyFill="1" applyBorder="1" applyAlignment="1">
      <alignment horizontal="center"/>
    </xf>
    <xf numFmtId="188" fontId="14" fillId="4" borderId="87" xfId="0" applyNumberFormat="1" applyFont="1" applyFill="1" applyBorder="1" applyAlignment="1">
      <alignment horizontal="center"/>
    </xf>
    <xf numFmtId="188" fontId="14" fillId="4" borderId="11" xfId="0" applyNumberFormat="1" applyFont="1" applyFill="1" applyBorder="1" applyAlignment="1">
      <alignment horizontal="center"/>
    </xf>
    <xf numFmtId="188" fontId="14" fillId="4" borderId="14" xfId="0" applyNumberFormat="1" applyFont="1" applyFill="1" applyBorder="1" applyAlignment="1">
      <alignment horizontal="center"/>
    </xf>
    <xf numFmtId="188" fontId="14" fillId="6" borderId="86" xfId="0" applyNumberFormat="1" applyFont="1" applyFill="1" applyBorder="1" applyAlignment="1">
      <alignment horizontal="center"/>
    </xf>
    <xf numFmtId="188" fontId="14" fillId="6" borderId="23" xfId="0" applyNumberFormat="1" applyFont="1" applyFill="1" applyBorder="1" applyAlignment="1">
      <alignment horizontal="center"/>
    </xf>
    <xf numFmtId="188" fontId="14" fillId="6" borderId="11" xfId="0" applyNumberFormat="1" applyFont="1" applyFill="1" applyBorder="1" applyAlignment="1">
      <alignment horizontal="center"/>
    </xf>
    <xf numFmtId="188" fontId="14" fillId="6" borderId="14" xfId="0" applyNumberFormat="1" applyFont="1" applyFill="1" applyBorder="1" applyAlignment="1">
      <alignment horizontal="center"/>
    </xf>
    <xf numFmtId="188" fontId="5" fillId="3" borderId="12" xfId="0" applyNumberFormat="1" applyFont="1" applyFill="1" applyBorder="1" applyAlignment="1">
      <alignment horizontal="center"/>
    </xf>
    <xf numFmtId="188" fontId="5" fillId="3" borderId="14" xfId="0" applyNumberFormat="1" applyFont="1" applyFill="1" applyBorder="1" applyAlignment="1">
      <alignment horizontal="center"/>
    </xf>
    <xf numFmtId="188" fontId="14" fillId="9" borderId="11" xfId="0" applyNumberFormat="1" applyFont="1" applyFill="1" applyBorder="1" applyAlignment="1">
      <alignment horizontal="center"/>
    </xf>
    <xf numFmtId="188" fontId="14" fillId="9" borderId="14" xfId="0" applyNumberFormat="1" applyFont="1" applyFill="1" applyBorder="1" applyAlignment="1">
      <alignment horizontal="center"/>
    </xf>
    <xf numFmtId="188" fontId="15" fillId="0" borderId="12" xfId="0" applyNumberFormat="1" applyFont="1" applyBorder="1" applyAlignment="1">
      <alignment horizontal="center"/>
    </xf>
    <xf numFmtId="188" fontId="17" fillId="0" borderId="0" xfId="0" applyNumberFormat="1" applyFont="1"/>
    <xf numFmtId="188" fontId="15" fillId="5" borderId="75" xfId="0" applyNumberFormat="1" applyFont="1" applyFill="1" applyBorder="1" applyAlignment="1">
      <alignment horizontal="center"/>
    </xf>
    <xf numFmtId="188" fontId="16" fillId="0" borderId="24" xfId="0" applyNumberFormat="1" applyFont="1" applyBorder="1" applyAlignment="1">
      <alignment horizontal="center"/>
    </xf>
    <xf numFmtId="0" fontId="14" fillId="0" borderId="90" xfId="0" applyFont="1" applyBorder="1" applyAlignment="1">
      <alignment horizontal="left"/>
    </xf>
    <xf numFmtId="0" fontId="4" fillId="0" borderId="91" xfId="0" applyFont="1" applyBorder="1" applyAlignment="1">
      <alignment horizontal="left"/>
    </xf>
    <xf numFmtId="0" fontId="4" fillId="0" borderId="92" xfId="0" applyFont="1" applyBorder="1" applyAlignment="1">
      <alignment horizontal="left"/>
    </xf>
    <xf numFmtId="0" fontId="14" fillId="0" borderId="88" xfId="0" applyFont="1" applyBorder="1"/>
    <xf numFmtId="0" fontId="14" fillId="0" borderId="93" xfId="0" applyFont="1" applyBorder="1" applyAlignment="1">
      <alignment horizontal="left"/>
    </xf>
    <xf numFmtId="0" fontId="14" fillId="0" borderId="93" xfId="0" applyFont="1" applyBorder="1"/>
    <xf numFmtId="0" fontId="4" fillId="0" borderId="93" xfId="0" applyFont="1" applyBorder="1"/>
    <xf numFmtId="0" fontId="14" fillId="8" borderId="91" xfId="0" applyFont="1" applyFill="1" applyBorder="1" applyAlignment="1">
      <alignment horizontal="left"/>
    </xf>
    <xf numFmtId="0" fontId="14" fillId="8" borderId="92" xfId="0" applyFont="1" applyFill="1" applyBorder="1" applyAlignment="1">
      <alignment horizontal="left"/>
    </xf>
    <xf numFmtId="0" fontId="4" fillId="0" borderId="93" xfId="0" applyFont="1" applyBorder="1" applyAlignment="1">
      <alignment horizontal="left"/>
    </xf>
    <xf numFmtId="0" fontId="4" fillId="0" borderId="94" xfId="0" applyFont="1" applyBorder="1" applyAlignment="1">
      <alignment horizontal="left"/>
    </xf>
    <xf numFmtId="0" fontId="14" fillId="4" borderId="91" xfId="0" applyFont="1" applyFill="1" applyBorder="1" applyAlignment="1">
      <alignment horizontal="left"/>
    </xf>
    <xf numFmtId="0" fontId="14" fillId="4" borderId="92" xfId="0" applyFont="1" applyFill="1" applyBorder="1" applyAlignment="1">
      <alignment horizontal="left"/>
    </xf>
    <xf numFmtId="0" fontId="14" fillId="5" borderId="0" xfId="0" applyFont="1" applyFill="1"/>
    <xf numFmtId="0" fontId="14" fillId="0" borderId="90" xfId="0" applyFont="1" applyBorder="1"/>
    <xf numFmtId="0" fontId="14" fillId="6" borderId="93" xfId="0" applyFont="1" applyFill="1" applyBorder="1" applyAlignment="1">
      <alignment horizontal="left"/>
    </xf>
    <xf numFmtId="0" fontId="14" fillId="6" borderId="91" xfId="0" applyFont="1" applyFill="1" applyBorder="1" applyAlignment="1">
      <alignment horizontal="left"/>
    </xf>
    <xf numFmtId="0" fontId="14" fillId="6" borderId="92" xfId="0" applyFont="1" applyFill="1" applyBorder="1" applyAlignment="1">
      <alignment horizontal="left"/>
    </xf>
    <xf numFmtId="0" fontId="14" fillId="5" borderId="0" xfId="0" applyFont="1" applyFill="1" applyAlignment="1">
      <alignment horizontal="left"/>
    </xf>
    <xf numFmtId="0" fontId="4" fillId="0" borderId="91" xfId="0" applyFont="1" applyBorder="1"/>
    <xf numFmtId="0" fontId="4" fillId="0" borderId="92" xfId="0" applyFont="1" applyBorder="1"/>
    <xf numFmtId="0" fontId="14" fillId="4" borderId="91" xfId="0" applyFont="1" applyFill="1" applyBorder="1" applyAlignment="1">
      <alignment horizontal="center"/>
    </xf>
    <xf numFmtId="0" fontId="26" fillId="4" borderId="91" xfId="0" applyFont="1" applyFill="1" applyBorder="1" applyAlignment="1">
      <alignment horizontal="center"/>
    </xf>
    <xf numFmtId="0" fontId="26" fillId="4" borderId="92" xfId="0" applyFont="1" applyFill="1" applyBorder="1" applyAlignment="1">
      <alignment horizontal="center"/>
    </xf>
    <xf numFmtId="0" fontId="14" fillId="6" borderId="93" xfId="0" applyFont="1" applyFill="1" applyBorder="1" applyAlignment="1">
      <alignment horizontal="center"/>
    </xf>
    <xf numFmtId="0" fontId="27" fillId="6" borderId="93" xfId="0" applyFont="1" applyFill="1" applyBorder="1" applyAlignment="1">
      <alignment horizontal="center"/>
    </xf>
    <xf numFmtId="0" fontId="27" fillId="6" borderId="92" xfId="0" applyFont="1" applyFill="1" applyBorder="1" applyAlignment="1">
      <alignment horizontal="center"/>
    </xf>
    <xf numFmtId="0" fontId="14" fillId="0" borderId="88" xfId="0" applyFont="1" applyBorder="1" applyAlignment="1">
      <alignment horizontal="left"/>
    </xf>
    <xf numFmtId="3" fontId="4" fillId="0" borderId="91" xfId="0" applyNumberFormat="1" applyFont="1" applyBorder="1" applyAlignment="1">
      <alignment horizontal="left"/>
    </xf>
    <xf numFmtId="0" fontId="16" fillId="8" borderId="91" xfId="0" applyFont="1" applyFill="1" applyBorder="1" applyAlignment="1">
      <alignment horizontal="center"/>
    </xf>
    <xf numFmtId="0" fontId="25" fillId="8" borderId="91" xfId="0" applyFont="1" applyFill="1" applyBorder="1" applyAlignment="1">
      <alignment horizontal="center"/>
    </xf>
    <xf numFmtId="0" fontId="25" fillId="8" borderId="92" xfId="0" applyFont="1" applyFill="1" applyBorder="1" applyAlignment="1">
      <alignment horizontal="center"/>
    </xf>
    <xf numFmtId="3" fontId="4" fillId="0" borderId="91" xfId="0" applyNumberFormat="1" applyFont="1" applyBorder="1"/>
    <xf numFmtId="0" fontId="14" fillId="8" borderId="91" xfId="0" applyFont="1" applyFill="1" applyBorder="1" applyAlignment="1">
      <alignment horizontal="center"/>
    </xf>
    <xf numFmtId="187" fontId="14" fillId="2" borderId="6" xfId="0" applyNumberFormat="1" applyFont="1" applyFill="1" applyBorder="1" applyAlignment="1">
      <alignment horizontal="center" vertical="center" wrapText="1"/>
    </xf>
    <xf numFmtId="188" fontId="9" fillId="0" borderId="97" xfId="0" applyNumberFormat="1" applyFont="1" applyBorder="1" applyAlignment="1">
      <alignment horizontal="center"/>
    </xf>
    <xf numFmtId="188" fontId="9" fillId="0" borderId="98" xfId="0" applyNumberFormat="1" applyFont="1" applyBorder="1" applyAlignment="1">
      <alignment horizontal="center"/>
    </xf>
    <xf numFmtId="188" fontId="9" fillId="0" borderId="99" xfId="0" applyNumberFormat="1" applyFont="1" applyBorder="1" applyAlignment="1">
      <alignment horizontal="center"/>
    </xf>
    <xf numFmtId="188" fontId="9" fillId="0" borderId="100" xfId="0" applyNumberFormat="1" applyFont="1" applyBorder="1" applyAlignment="1">
      <alignment horizontal="center"/>
    </xf>
    <xf numFmtId="188" fontId="28" fillId="8" borderId="41" xfId="0" applyNumberFormat="1" applyFont="1" applyFill="1" applyBorder="1" applyAlignment="1">
      <alignment horizontal="center"/>
    </xf>
    <xf numFmtId="188" fontId="5" fillId="8" borderId="29" xfId="0" applyNumberFormat="1" applyFont="1" applyFill="1" applyBorder="1" applyAlignment="1">
      <alignment horizontal="center"/>
    </xf>
    <xf numFmtId="188" fontId="5" fillId="8" borderId="95" xfId="0" applyNumberFormat="1" applyFont="1" applyFill="1" applyBorder="1" applyAlignment="1">
      <alignment horizontal="center"/>
    </xf>
    <xf numFmtId="188" fontId="5" fillId="8" borderId="31" xfId="0" applyNumberFormat="1" applyFont="1" applyFill="1" applyBorder="1" applyAlignment="1">
      <alignment horizontal="center"/>
    </xf>
    <xf numFmtId="188" fontId="5" fillId="8" borderId="74" xfId="0" applyNumberFormat="1" applyFont="1" applyFill="1" applyBorder="1" applyAlignment="1">
      <alignment horizontal="center"/>
    </xf>
    <xf numFmtId="188" fontId="5" fillId="8" borderId="34" xfId="0" applyNumberFormat="1" applyFont="1" applyFill="1" applyBorder="1" applyAlignment="1">
      <alignment horizontal="center"/>
    </xf>
    <xf numFmtId="188" fontId="5" fillId="8" borderId="96" xfId="0" applyNumberFormat="1" applyFont="1" applyFill="1" applyBorder="1" applyAlignment="1">
      <alignment horizontal="center"/>
    </xf>
    <xf numFmtId="0" fontId="9" fillId="0" borderId="101" xfId="0" applyFont="1" applyBorder="1"/>
    <xf numFmtId="0" fontId="9" fillId="0" borderId="102" xfId="0" applyFont="1" applyBorder="1"/>
    <xf numFmtId="0" fontId="23" fillId="0" borderId="27" xfId="0" applyFont="1" applyBorder="1" applyAlignment="1">
      <alignment horizontal="center"/>
    </xf>
    <xf numFmtId="0" fontId="5" fillId="11" borderId="38" xfId="0" quotePrefix="1" applyFont="1" applyFill="1" applyBorder="1" applyAlignment="1">
      <alignment horizontal="center" vertical="center"/>
    </xf>
    <xf numFmtId="0" fontId="5" fillId="11" borderId="39" xfId="0" quotePrefix="1" applyFont="1" applyFill="1" applyBorder="1" applyAlignment="1">
      <alignment horizontal="center" vertical="center"/>
    </xf>
    <xf numFmtId="0" fontId="5" fillId="10" borderId="44" xfId="0" quotePrefix="1" applyFont="1" applyFill="1" applyBorder="1" applyAlignment="1">
      <alignment horizontal="center" vertical="center"/>
    </xf>
    <xf numFmtId="0" fontId="5" fillId="10" borderId="45" xfId="0" quotePrefix="1" applyFont="1" applyFill="1" applyBorder="1" applyAlignment="1">
      <alignment horizontal="center" vertical="center"/>
    </xf>
    <xf numFmtId="0" fontId="11" fillId="0" borderId="60" xfId="0" applyFont="1" applyBorder="1" applyAlignment="1">
      <alignment horizontal="centerContinuous" vertical="center"/>
    </xf>
    <xf numFmtId="0" fontId="6" fillId="0" borderId="76" xfId="0" applyFont="1" applyBorder="1" applyAlignment="1">
      <alignment horizontal="centerContinuous" vertical="center"/>
    </xf>
    <xf numFmtId="0" fontId="6" fillId="0" borderId="59" xfId="0" applyFont="1" applyBorder="1" applyAlignment="1">
      <alignment horizontal="centerContinuous" vertical="center"/>
    </xf>
    <xf numFmtId="0" fontId="11" fillId="0" borderId="59" xfId="0" applyFont="1" applyBorder="1" applyAlignment="1">
      <alignment horizontal="centerContinuous" vertical="center"/>
    </xf>
    <xf numFmtId="0" fontId="11" fillId="0" borderId="71" xfId="0" applyFont="1" applyBorder="1" applyAlignment="1">
      <alignment horizontal="centerContinuous" vertical="center"/>
    </xf>
    <xf numFmtId="0" fontId="11" fillId="0" borderId="50" xfId="0" applyFont="1" applyBorder="1" applyAlignment="1">
      <alignment horizontal="centerContinuous" vertical="center"/>
    </xf>
    <xf numFmtId="0" fontId="6" fillId="0" borderId="51" xfId="0" applyFont="1" applyBorder="1" applyAlignment="1">
      <alignment horizontal="centerContinuous" vertical="center"/>
    </xf>
    <xf numFmtId="0" fontId="11" fillId="0" borderId="51" xfId="0" applyFont="1" applyBorder="1" applyAlignment="1">
      <alignment horizontal="centerContinuous" vertical="center"/>
    </xf>
    <xf numFmtId="0" fontId="11" fillId="0" borderId="52" xfId="0" applyFont="1" applyBorder="1" applyAlignment="1">
      <alignment horizontal="centerContinuous" vertical="center"/>
    </xf>
    <xf numFmtId="0" fontId="5" fillId="0" borderId="70" xfId="0" quotePrefix="1" applyFont="1" applyBorder="1" applyAlignment="1">
      <alignment horizontal="center" vertical="center"/>
    </xf>
    <xf numFmtId="0" fontId="5" fillId="0" borderId="62" xfId="0" quotePrefix="1" applyFont="1" applyBorder="1" applyAlignment="1">
      <alignment horizontal="center" vertical="center"/>
    </xf>
    <xf numFmtId="0" fontId="5" fillId="0" borderId="68" xfId="0" quotePrefix="1" applyFont="1" applyBorder="1" applyAlignment="1">
      <alignment horizontal="center" vertical="center"/>
    </xf>
    <xf numFmtId="0" fontId="5" fillId="0" borderId="63" xfId="0" applyFont="1" applyBorder="1" applyAlignment="1">
      <alignment horizontal="center" vertical="center"/>
    </xf>
    <xf numFmtId="0" fontId="5" fillId="0" borderId="66" xfId="0" applyFont="1" applyBorder="1" applyAlignment="1">
      <alignment horizontal="center" vertical="center"/>
    </xf>
    <xf numFmtId="0" fontId="5" fillId="0" borderId="67" xfId="0" quotePrefix="1" applyFont="1" applyBorder="1" applyAlignment="1">
      <alignment horizontal="center" vertical="center"/>
    </xf>
    <xf numFmtId="0" fontId="5" fillId="0" borderId="69" xfId="0" applyFont="1" applyBorder="1" applyAlignment="1">
      <alignment horizontal="center" vertical="center"/>
    </xf>
    <xf numFmtId="0" fontId="5" fillId="0" borderId="65" xfId="0" quotePrefix="1" applyFont="1" applyBorder="1" applyAlignment="1">
      <alignment horizontal="center" vertical="center"/>
    </xf>
    <xf numFmtId="0" fontId="5" fillId="0" borderId="72" xfId="0" quotePrefix="1" applyFont="1" applyBorder="1" applyAlignment="1">
      <alignment horizontal="center" vertical="center"/>
    </xf>
    <xf numFmtId="0" fontId="5" fillId="0" borderId="73" xfId="0" quotePrefix="1" applyFont="1" applyBorder="1" applyAlignment="1">
      <alignment horizontal="center" vertical="center"/>
    </xf>
    <xf numFmtId="0" fontId="5" fillId="0" borderId="64" xfId="0" applyFont="1" applyBorder="1" applyAlignment="1">
      <alignment horizontal="center" vertical="center"/>
    </xf>
    <xf numFmtId="0" fontId="5" fillId="0" borderId="61" xfId="0" applyFont="1" applyBorder="1" applyAlignment="1">
      <alignment horizontal="center" vertical="center"/>
    </xf>
    <xf numFmtId="188" fontId="22" fillId="0" borderId="81" xfId="0" applyNumberFormat="1" applyFont="1" applyBorder="1" applyAlignment="1">
      <alignment horizontal="center"/>
    </xf>
    <xf numFmtId="188" fontId="28" fillId="8" borderId="81" xfId="0" applyNumberFormat="1" applyFont="1" applyFill="1" applyBorder="1" applyAlignment="1">
      <alignment horizontal="center"/>
    </xf>
    <xf numFmtId="188" fontId="5" fillId="8" borderId="103" xfId="0" applyNumberFormat="1" applyFont="1" applyFill="1" applyBorder="1" applyAlignment="1">
      <alignment horizontal="center"/>
    </xf>
    <xf numFmtId="188" fontId="5" fillId="8" borderId="104" xfId="0" applyNumberFormat="1" applyFont="1" applyFill="1" applyBorder="1" applyAlignment="1">
      <alignment horizontal="center"/>
    </xf>
    <xf numFmtId="0" fontId="29" fillId="0" borderId="81" xfId="0" applyFont="1" applyBorder="1" applyAlignment="1">
      <alignment horizontal="center"/>
    </xf>
    <xf numFmtId="188" fontId="14" fillId="4" borderId="54" xfId="0" applyNumberFormat="1" applyFont="1" applyFill="1" applyBorder="1" applyAlignment="1">
      <alignment horizontal="center" shrinkToFit="1"/>
    </xf>
    <xf numFmtId="188" fontId="14" fillId="4" borderId="56" xfId="0" applyNumberFormat="1" applyFont="1" applyFill="1" applyBorder="1" applyAlignment="1">
      <alignment horizontal="center" shrinkToFit="1"/>
    </xf>
    <xf numFmtId="188" fontId="14" fillId="4" borderId="19" xfId="0" applyNumberFormat="1" applyFont="1" applyFill="1" applyBorder="1" applyAlignment="1">
      <alignment horizontal="center" shrinkToFit="1"/>
    </xf>
    <xf numFmtId="188" fontId="14" fillId="4" borderId="20" xfId="0" applyNumberFormat="1" applyFont="1" applyFill="1" applyBorder="1" applyAlignment="1">
      <alignment horizontal="center" shrinkToFit="1"/>
    </xf>
    <xf numFmtId="188" fontId="14" fillId="4" borderId="11" xfId="0" applyNumberFormat="1" applyFont="1" applyFill="1" applyBorder="1" applyAlignment="1">
      <alignment horizontal="center" shrinkToFit="1"/>
    </xf>
    <xf numFmtId="188" fontId="14" fillId="4" borderId="12" xfId="0" applyNumberFormat="1" applyFont="1" applyFill="1" applyBorder="1" applyAlignment="1">
      <alignment horizontal="center" shrinkToFit="1"/>
    </xf>
    <xf numFmtId="188" fontId="14" fillId="4" borderId="57" xfId="0" applyNumberFormat="1" applyFont="1" applyFill="1" applyBorder="1" applyAlignment="1">
      <alignment horizontal="center" shrinkToFit="1"/>
    </xf>
    <xf numFmtId="188" fontId="14" fillId="4" borderId="13" xfId="0" applyNumberFormat="1" applyFont="1" applyFill="1" applyBorder="1" applyAlignment="1">
      <alignment horizontal="center" shrinkToFit="1"/>
    </xf>
    <xf numFmtId="188" fontId="14" fillId="4" borderId="55" xfId="0" applyNumberFormat="1" applyFont="1" applyFill="1" applyBorder="1" applyAlignment="1">
      <alignment horizontal="center" shrinkToFit="1"/>
    </xf>
    <xf numFmtId="188" fontId="14" fillId="4" borderId="58" xfId="0" applyNumberFormat="1" applyFont="1" applyFill="1" applyBorder="1" applyAlignment="1">
      <alignment horizontal="center" shrinkToFit="1"/>
    </xf>
    <xf numFmtId="188" fontId="14" fillId="4" borderId="21" xfId="0" applyNumberFormat="1" applyFont="1" applyFill="1" applyBorder="1" applyAlignment="1">
      <alignment horizontal="center" shrinkToFit="1"/>
    </xf>
    <xf numFmtId="188" fontId="14" fillId="4" borderId="16" xfId="0" applyNumberFormat="1" applyFont="1" applyFill="1" applyBorder="1" applyAlignment="1">
      <alignment horizontal="center" shrinkToFit="1"/>
    </xf>
    <xf numFmtId="188" fontId="14" fillId="6" borderId="86" xfId="0" applyNumberFormat="1" applyFont="1" applyFill="1" applyBorder="1" applyAlignment="1">
      <alignment horizontal="center" shrinkToFit="1"/>
    </xf>
    <xf numFmtId="188" fontId="14" fillId="6" borderId="17" xfId="0" applyNumberFormat="1" applyFont="1" applyFill="1" applyBorder="1" applyAlignment="1">
      <alignment horizontal="center" shrinkToFit="1"/>
    </xf>
    <xf numFmtId="188" fontId="14" fillId="6" borderId="18" xfId="0" applyNumberFormat="1" applyFont="1" applyFill="1" applyBorder="1" applyAlignment="1">
      <alignment horizontal="center" shrinkToFit="1"/>
    </xf>
    <xf numFmtId="188" fontId="14" fillId="6" borderId="23" xfId="0" applyNumberFormat="1" applyFont="1" applyFill="1" applyBorder="1" applyAlignment="1">
      <alignment horizontal="center" shrinkToFit="1"/>
    </xf>
    <xf numFmtId="188" fontId="14" fillId="6" borderId="13" xfId="0" applyNumberFormat="1" applyFont="1" applyFill="1" applyBorder="1" applyAlignment="1">
      <alignment horizontal="center" shrinkToFit="1"/>
    </xf>
    <xf numFmtId="188" fontId="14" fillId="6" borderId="11" xfId="0" applyNumberFormat="1" applyFont="1" applyFill="1" applyBorder="1" applyAlignment="1">
      <alignment horizontal="center" shrinkToFit="1"/>
    </xf>
    <xf numFmtId="188" fontId="14" fillId="6" borderId="12" xfId="0" applyNumberFormat="1" applyFont="1" applyFill="1" applyBorder="1" applyAlignment="1">
      <alignment horizontal="center" shrinkToFit="1"/>
    </xf>
    <xf numFmtId="188" fontId="14" fillId="6" borderId="14" xfId="0" applyNumberFormat="1" applyFont="1" applyFill="1" applyBorder="1" applyAlignment="1">
      <alignment horizontal="center" shrinkToFit="1"/>
    </xf>
    <xf numFmtId="188" fontId="14" fillId="6" borderId="15" xfId="0" applyNumberFormat="1" applyFont="1" applyFill="1" applyBorder="1" applyAlignment="1">
      <alignment horizontal="center" shrinkToFit="1"/>
    </xf>
    <xf numFmtId="188" fontId="14" fillId="6" borderId="16" xfId="0" applyNumberFormat="1" applyFont="1" applyFill="1" applyBorder="1" applyAlignment="1">
      <alignment horizontal="center" shrinkToFit="1"/>
    </xf>
    <xf numFmtId="188" fontId="14" fillId="4" borderId="86" xfId="0" applyNumberFormat="1" applyFont="1" applyFill="1" applyBorder="1" applyAlignment="1">
      <alignment horizontal="center" shrinkToFit="1"/>
    </xf>
    <xf numFmtId="188" fontId="14" fillId="4" borderId="15" xfId="0" applyNumberFormat="1" applyFont="1" applyFill="1" applyBorder="1" applyAlignment="1">
      <alignment horizontal="center" shrinkToFit="1"/>
    </xf>
    <xf numFmtId="188" fontId="14" fillId="4" borderId="14" xfId="0" applyNumberFormat="1" applyFont="1" applyFill="1" applyBorder="1" applyAlignment="1">
      <alignment horizontal="center" shrinkToFit="1"/>
    </xf>
    <xf numFmtId="188" fontId="14" fillId="8" borderId="12" xfId="0" applyNumberFormat="1" applyFont="1" applyFill="1" applyBorder="1" applyAlignment="1">
      <alignment horizontal="center" shrinkToFit="1"/>
    </xf>
    <xf numFmtId="188" fontId="14" fillId="8" borderId="13" xfId="0" applyNumberFormat="1" applyFont="1" applyFill="1" applyBorder="1" applyAlignment="1">
      <alignment horizontal="center" shrinkToFit="1"/>
    </xf>
    <xf numFmtId="188" fontId="14" fillId="8" borderId="11" xfId="0" applyNumberFormat="1" applyFont="1" applyFill="1" applyBorder="1" applyAlignment="1">
      <alignment horizontal="center" shrinkToFit="1"/>
    </xf>
    <xf numFmtId="188" fontId="14" fillId="8" borderId="17" xfId="0" applyNumberFormat="1" applyFont="1" applyFill="1" applyBorder="1" applyAlignment="1">
      <alignment horizontal="center" shrinkToFit="1"/>
    </xf>
    <xf numFmtId="188" fontId="14" fillId="8" borderId="18" xfId="0" applyNumberFormat="1" applyFont="1" applyFill="1" applyBorder="1" applyAlignment="1">
      <alignment horizontal="center" shrinkToFit="1"/>
    </xf>
    <xf numFmtId="188" fontId="5" fillId="3" borderId="12" xfId="0" applyNumberFormat="1" applyFont="1" applyFill="1" applyBorder="1" applyAlignment="1">
      <alignment horizontal="center" shrinkToFit="1"/>
    </xf>
    <xf numFmtId="188" fontId="14" fillId="3" borderId="12" xfId="0" applyNumberFormat="1" applyFont="1" applyFill="1" applyBorder="1" applyAlignment="1">
      <alignment horizontal="center" shrinkToFit="1"/>
    </xf>
    <xf numFmtId="188" fontId="14" fillId="3" borderId="13" xfId="0" applyNumberFormat="1" applyFont="1" applyFill="1" applyBorder="1" applyAlignment="1">
      <alignment horizontal="center" shrinkToFit="1"/>
    </xf>
    <xf numFmtId="188" fontId="14" fillId="8" borderId="15" xfId="0" applyNumberFormat="1" applyFont="1" applyFill="1" applyBorder="1" applyAlignment="1">
      <alignment horizontal="center" shrinkToFit="1"/>
    </xf>
    <xf numFmtId="188" fontId="14" fillId="8" borderId="16" xfId="0" applyNumberFormat="1" applyFont="1" applyFill="1" applyBorder="1" applyAlignment="1">
      <alignment horizontal="center" shrinkToFit="1"/>
    </xf>
    <xf numFmtId="188" fontId="14" fillId="8" borderId="14" xfId="0" applyNumberFormat="1" applyFont="1" applyFill="1" applyBorder="1" applyAlignment="1">
      <alignment horizontal="center" shrinkToFit="1"/>
    </xf>
    <xf numFmtId="188" fontId="5" fillId="3" borderId="14" xfId="0" applyNumberFormat="1" applyFont="1" applyFill="1" applyBorder="1" applyAlignment="1">
      <alignment horizontal="center" shrinkToFit="1"/>
    </xf>
    <xf numFmtId="188" fontId="14" fillId="3" borderId="15" xfId="0" applyNumberFormat="1" applyFont="1" applyFill="1" applyBorder="1" applyAlignment="1">
      <alignment horizontal="center" shrinkToFit="1"/>
    </xf>
    <xf numFmtId="188" fontId="14" fillId="3" borderId="16" xfId="0" applyNumberFormat="1" applyFont="1" applyFill="1" applyBorder="1" applyAlignment="1">
      <alignment horizontal="center" shrinkToFit="1"/>
    </xf>
    <xf numFmtId="188" fontId="16" fillId="8" borderId="11" xfId="0" applyNumberFormat="1" applyFont="1" applyFill="1" applyBorder="1" applyAlignment="1">
      <alignment horizontal="center" shrinkToFit="1"/>
    </xf>
    <xf numFmtId="188" fontId="4" fillId="3" borderId="12" xfId="0" applyNumberFormat="1" applyFont="1" applyFill="1" applyBorder="1" applyAlignment="1">
      <alignment horizontal="center" shrinkToFit="1"/>
    </xf>
    <xf numFmtId="188" fontId="4" fillId="3" borderId="14" xfId="0" applyNumberFormat="1" applyFont="1" applyFill="1" applyBorder="1" applyAlignment="1">
      <alignment horizontal="center" shrinkToFit="1"/>
    </xf>
    <xf numFmtId="188" fontId="16" fillId="8" borderId="14" xfId="0" applyNumberFormat="1" applyFont="1" applyFill="1" applyBorder="1" applyAlignment="1">
      <alignment horizontal="center" shrinkToFit="1"/>
    </xf>
    <xf numFmtId="188" fontId="14" fillId="9" borderId="11" xfId="0" applyNumberFormat="1" applyFont="1" applyFill="1" applyBorder="1" applyAlignment="1">
      <alignment horizontal="center" shrinkToFit="1"/>
    </xf>
    <xf numFmtId="188" fontId="14" fillId="9" borderId="14" xfId="0" applyNumberFormat="1" applyFont="1" applyFill="1" applyBorder="1" applyAlignment="1">
      <alignment horizontal="center" shrinkToFit="1"/>
    </xf>
    <xf numFmtId="188" fontId="15" fillId="0" borderId="17" xfId="0" applyNumberFormat="1" applyFont="1" applyBorder="1" applyAlignment="1">
      <alignment horizontal="center"/>
    </xf>
    <xf numFmtId="188" fontId="12" fillId="0" borderId="81" xfId="2" applyNumberFormat="1" applyBorder="1" applyAlignment="1">
      <alignment horizontal="center"/>
    </xf>
    <xf numFmtId="188" fontId="12" fillId="8" borderId="81" xfId="2" applyNumberFormat="1" applyFill="1" applyBorder="1" applyAlignment="1">
      <alignment horizontal="center"/>
    </xf>
    <xf numFmtId="188" fontId="9" fillId="0" borderId="107" xfId="0" applyNumberFormat="1" applyFont="1" applyBorder="1" applyAlignment="1">
      <alignment horizontal="center"/>
    </xf>
    <xf numFmtId="188" fontId="5" fillId="8" borderId="108" xfId="0" applyNumberFormat="1" applyFont="1" applyFill="1" applyBorder="1" applyAlignment="1">
      <alignment horizontal="center"/>
    </xf>
    <xf numFmtId="188" fontId="5" fillId="8" borderId="32" xfId="0" applyNumberFormat="1" applyFont="1" applyFill="1" applyBorder="1" applyAlignment="1">
      <alignment horizontal="center"/>
    </xf>
    <xf numFmtId="188" fontId="5" fillId="8" borderId="109" xfId="0" applyNumberFormat="1" applyFont="1" applyFill="1" applyBorder="1" applyAlignment="1">
      <alignment horizontal="center"/>
    </xf>
    <xf numFmtId="188" fontId="5" fillId="10" borderId="110" xfId="0" applyNumberFormat="1" applyFont="1" applyFill="1" applyBorder="1" applyAlignment="1">
      <alignment horizontal="center"/>
    </xf>
    <xf numFmtId="188" fontId="3" fillId="0" borderId="11" xfId="0" applyNumberFormat="1" applyFont="1" applyBorder="1" applyAlignment="1">
      <alignment horizontal="center"/>
    </xf>
    <xf numFmtId="0" fontId="2" fillId="0" borderId="91" xfId="0" applyFont="1" applyBorder="1" applyAlignment="1">
      <alignment horizontal="left"/>
    </xf>
    <xf numFmtId="0" fontId="1" fillId="0" borderId="91" xfId="0" applyFont="1" applyBorder="1" applyAlignment="1">
      <alignment horizontal="left"/>
    </xf>
    <xf numFmtId="188" fontId="1" fillId="0" borderId="12" xfId="0" applyNumberFormat="1" applyFont="1" applyBorder="1" applyAlignment="1">
      <alignment horizontal="center"/>
    </xf>
    <xf numFmtId="0" fontId="5" fillId="0" borderId="49" xfId="0" applyFont="1" applyBorder="1" applyAlignment="1">
      <alignment horizontal="center" vertical="center"/>
    </xf>
    <xf numFmtId="0" fontId="7" fillId="0" borderId="61" xfId="0" applyFont="1" applyBorder="1" applyAlignment="1">
      <alignment vertical="center"/>
    </xf>
    <xf numFmtId="0" fontId="5" fillId="0" borderId="78" xfId="0" applyFont="1" applyBorder="1" applyAlignment="1">
      <alignment horizontal="center" vertical="center"/>
    </xf>
    <xf numFmtId="0" fontId="5" fillId="0" borderId="80" xfId="0" applyFont="1" applyBorder="1" applyAlignment="1">
      <alignment horizontal="center" vertical="center"/>
    </xf>
    <xf numFmtId="0" fontId="5" fillId="0" borderId="79" xfId="0" applyFont="1" applyBorder="1" applyAlignment="1">
      <alignment horizontal="center" vertical="center"/>
    </xf>
    <xf numFmtId="0" fontId="5" fillId="0" borderId="73" xfId="0" applyFont="1" applyBorder="1" applyAlignment="1">
      <alignment horizontal="center" vertical="center"/>
    </xf>
    <xf numFmtId="0" fontId="14" fillId="2" borderId="2" xfId="0" applyFont="1" applyFill="1" applyBorder="1" applyAlignment="1">
      <alignment horizontal="center" vertical="center"/>
    </xf>
    <xf numFmtId="0" fontId="15" fillId="0" borderId="3" xfId="0" applyFont="1" applyBorder="1" applyAlignment="1">
      <alignment vertical="center"/>
    </xf>
    <xf numFmtId="0" fontId="15" fillId="0" borderId="4" xfId="0" applyFont="1" applyBorder="1" applyAlignment="1">
      <alignment vertical="center"/>
    </xf>
    <xf numFmtId="0" fontId="14" fillId="7" borderId="88" xfId="0" quotePrefix="1" applyFont="1" applyFill="1" applyBorder="1" applyAlignment="1">
      <alignment horizontal="center" vertical="center"/>
    </xf>
    <xf numFmtId="0" fontId="14" fillId="7" borderId="89" xfId="0" quotePrefix="1" applyFont="1" applyFill="1" applyBorder="1" applyAlignment="1">
      <alignment horizontal="center" vertical="center"/>
    </xf>
    <xf numFmtId="0" fontId="14" fillId="7" borderId="88" xfId="0" quotePrefix="1" applyFont="1" applyFill="1" applyBorder="1" applyAlignment="1">
      <alignment horizontal="center" vertical="center" wrapText="1"/>
    </xf>
    <xf numFmtId="0" fontId="14" fillId="7" borderId="2" xfId="0" quotePrefix="1" applyFont="1" applyFill="1" applyBorder="1" applyAlignment="1">
      <alignment horizontal="center" vertical="center"/>
    </xf>
    <xf numFmtId="0" fontId="14" fillId="7" borderId="3" xfId="0" quotePrefix="1" applyFont="1" applyFill="1" applyBorder="1" applyAlignment="1">
      <alignment horizontal="center" vertical="center"/>
    </xf>
    <xf numFmtId="0" fontId="14" fillId="7" borderId="4" xfId="0" quotePrefix="1"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7" borderId="89" xfId="0" quotePrefix="1" applyFont="1" applyFill="1" applyBorder="1" applyAlignment="1">
      <alignment horizontal="center" vertical="center" wrapText="1"/>
    </xf>
    <xf numFmtId="188" fontId="15" fillId="0" borderId="15" xfId="0" applyNumberFormat="1" applyFont="1" applyBorder="1" applyAlignment="1">
      <alignment horizontal="center"/>
    </xf>
    <xf numFmtId="188" fontId="16" fillId="0" borderId="105" xfId="0" applyNumberFormat="1" applyFont="1" applyBorder="1" applyAlignment="1">
      <alignment horizontal="center"/>
    </xf>
    <xf numFmtId="188" fontId="15" fillId="0" borderId="106" xfId="0" applyNumberFormat="1" applyFont="1" applyBorder="1" applyAlignment="1">
      <alignment horizontal="center"/>
    </xf>
  </cellXfs>
  <cellStyles count="3">
    <cellStyle name="Hyperlink" xfId="2" builtinId="8"/>
    <cellStyle name="Normal" xfId="0" builtinId="0"/>
    <cellStyle name="Normal 2" xfId="1" xr:uid="{692C85F9-A2C0-4FA2-96E8-ACA6A034DF84}"/>
  </cellStyles>
  <dxfs count="24">
    <dxf>
      <font>
        <color theme="0"/>
      </font>
    </dxf>
    <dxf>
      <numFmt numFmtId="190" formatCode="#,##0;;"/>
    </dxf>
    <dxf>
      <font>
        <u val="none"/>
        <color rgb="FF0464C2"/>
      </font>
    </dxf>
    <dxf>
      <font>
        <u val="none"/>
        <color rgb="FF0464C2"/>
      </font>
    </dxf>
    <dxf>
      <font>
        <color theme="0"/>
      </font>
    </dxf>
    <dxf>
      <numFmt numFmtId="190" formatCode="#,##0;;"/>
    </dxf>
    <dxf>
      <font>
        <color rgb="FF0464C2"/>
      </font>
    </dxf>
    <dxf>
      <font>
        <color rgb="FF0464C2"/>
      </font>
    </dxf>
    <dxf>
      <font>
        <color theme="0"/>
      </font>
    </dxf>
    <dxf>
      <numFmt numFmtId="190" formatCode="#,##0;;"/>
    </dxf>
    <dxf>
      <font>
        <color rgb="FF0464C2"/>
      </font>
    </dxf>
    <dxf>
      <font>
        <u val="none"/>
        <color rgb="FF0464C2"/>
      </font>
    </dxf>
    <dxf>
      <font>
        <color theme="0"/>
      </font>
    </dxf>
    <dxf>
      <fill>
        <patternFill>
          <bgColor theme="7" tint="0.79998168889431442"/>
        </patternFill>
      </fill>
    </dxf>
    <dxf>
      <font>
        <color theme="0"/>
      </font>
    </dxf>
    <dxf>
      <numFmt numFmtId="190" formatCode="#,##0;;"/>
    </dxf>
    <dxf>
      <numFmt numFmtId="187" formatCode="#,##0;;\-"/>
    </dxf>
    <dxf>
      <numFmt numFmtId="187" formatCode="#,##0;;\-"/>
    </dxf>
    <dxf>
      <numFmt numFmtId="187" formatCode="#,##0;;\-"/>
    </dxf>
    <dxf>
      <font>
        <color theme="0"/>
      </font>
    </dxf>
    <dxf>
      <fill>
        <patternFill>
          <bgColor theme="7" tint="0.79998168889431442"/>
        </patternFill>
      </fill>
    </dxf>
    <dxf>
      <font>
        <color theme="0"/>
      </font>
    </dxf>
    <dxf>
      <numFmt numFmtId="190" formatCode="#,##0;;"/>
    </dxf>
    <dxf>
      <numFmt numFmtId="187" formatCode="#,##0;;\-"/>
    </dxf>
  </dxfs>
  <tableStyles count="0" defaultTableStyle="TableStyleMedium2" defaultPivotStyle="PivotStyleLight16"/>
  <colors>
    <mruColors>
      <color rgb="FFBDD6EE"/>
      <color rgb="FFA8D08D"/>
      <color rgb="FF0464C2"/>
      <color rgb="FFECECEC"/>
      <color rgb="FFFBE4D5"/>
      <color rgb="FF0358AD"/>
      <color rgb="FF050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Default" id="{FE1A8F19-48A9-48F7-B989-391DF054300D}"/>
</namedSheetView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Z305"/>
  <sheetViews>
    <sheetView showGridLines="0" tabSelected="1" zoomScaleNormal="100" workbookViewId="0">
      <pane xSplit="2" ySplit="3" topLeftCell="C4" activePane="bottomRight" state="frozen"/>
      <selection activeCell="C4" sqref="C4"/>
      <selection pane="topRight" activeCell="C4" sqref="C4"/>
      <selection pane="bottomLeft" activeCell="C4" sqref="C4"/>
      <selection pane="bottomRight" activeCell="C4" sqref="C4"/>
    </sheetView>
  </sheetViews>
  <sheetFormatPr defaultColWidth="12.625" defaultRowHeight="15" customHeight="1" x14ac:dyDescent="0.35"/>
  <cols>
    <col min="1" max="1" width="30.25" style="64" customWidth="1"/>
    <col min="2" max="2" width="9" style="64" bestFit="1" customWidth="1"/>
    <col min="3" max="3" width="9.25" style="63" customWidth="1"/>
    <col min="4" max="7" width="8.375" style="64" customWidth="1"/>
    <col min="8" max="8" width="8.875" style="64" customWidth="1"/>
    <col min="9" max="9" width="8.375" style="64" customWidth="1"/>
    <col min="10" max="10" width="8.875" style="64" customWidth="1"/>
    <col min="11" max="11" width="8.375" style="63" customWidth="1"/>
    <col min="12" max="17" width="8.375" style="64" customWidth="1"/>
    <col min="18" max="18" width="9.125" style="64" customWidth="1"/>
    <col min="19" max="19" width="6" style="64" customWidth="1"/>
    <col min="20" max="26" width="9" style="64" customWidth="1"/>
    <col min="27" max="16384" width="12.625" style="64"/>
  </cols>
  <sheetData>
    <row r="1" spans="1:26" ht="18" customHeight="1" x14ac:dyDescent="0.35">
      <c r="A1" s="62" t="s">
        <v>114</v>
      </c>
      <c r="B1" s="62"/>
      <c r="D1" s="51"/>
      <c r="E1" s="71"/>
      <c r="F1" s="51"/>
      <c r="G1" s="115"/>
      <c r="H1" s="110" t="str">
        <f>IF($G$1="เปิด", "ป้อนคำค้น", "")</f>
        <v/>
      </c>
      <c r="I1" s="122" t="s">
        <v>108</v>
      </c>
      <c r="J1" s="122"/>
      <c r="K1" s="122"/>
      <c r="L1" s="123" t="str" cm="1">
        <f t="array" aca="1" ref="L1" ca="1">IF($G$1="เปิด", IF(I1="", "กรุณาพิมพ์คำค้นหาที่ H1", HYPERLINK("#A"&amp;MATCH("*"&amp;I1&amp;"*", A:A, 0), "🔎 คลิกเพื่อไปยัง: " &amp; _xlfn.XLOOKUP("*"&amp;I1&amp;"*", A4:A302, A4:A302, "ไม่พบข้อมูล", 2) &amp; " (" &amp; SUBSTITUTE(CELL("address", INDEX(A:A, MATCH("*"&amp;I1&amp;"*", A:A, 0))), "$", "") &amp; ")")), "")</f>
        <v/>
      </c>
      <c r="M1" s="123"/>
      <c r="N1" s="123"/>
      <c r="O1" s="123"/>
      <c r="P1" s="124"/>
      <c r="Q1" s="108" t="str" cm="1">
        <f t="array" aca="1" ref="Q1" ca="1">HYPERLINK(IF(รวมปกติ!$G$1="เปิด", "#" &amp; CELL("address", รวมปกติ!A1), "#Q1"), IF(รวมปกติ!$G$1="เปิด", "กลับ ↩", ""))</f>
        <v/>
      </c>
      <c r="R1" s="73"/>
      <c r="S1" s="65"/>
      <c r="T1" s="65"/>
      <c r="U1" s="65"/>
      <c r="V1" s="65"/>
      <c r="W1" s="65"/>
      <c r="X1" s="65"/>
      <c r="Y1" s="65"/>
      <c r="Z1" s="65"/>
    </row>
    <row r="2" spans="1:26" ht="21" customHeight="1" x14ac:dyDescent="0.35">
      <c r="A2" s="289" t="s">
        <v>0</v>
      </c>
      <c r="B2" s="291" t="s">
        <v>106</v>
      </c>
      <c r="C2" s="292" t="s">
        <v>112</v>
      </c>
      <c r="D2" s="293"/>
      <c r="E2" s="293"/>
      <c r="F2" s="294"/>
      <c r="G2" s="292" t="s">
        <v>102</v>
      </c>
      <c r="H2" s="293"/>
      <c r="I2" s="293"/>
      <c r="J2" s="294"/>
      <c r="K2" s="292" t="s">
        <v>103</v>
      </c>
      <c r="L2" s="293"/>
      <c r="M2" s="293"/>
      <c r="N2" s="294"/>
      <c r="O2" s="286" t="s">
        <v>113</v>
      </c>
      <c r="P2" s="287"/>
      <c r="Q2" s="287"/>
      <c r="R2" s="288"/>
    </row>
    <row r="3" spans="1:26" ht="63" x14ac:dyDescent="0.35">
      <c r="A3" s="290"/>
      <c r="B3" s="290"/>
      <c r="C3" s="78" t="s">
        <v>1</v>
      </c>
      <c r="D3" s="75" t="s">
        <v>2</v>
      </c>
      <c r="E3" s="76" t="s">
        <v>3</v>
      </c>
      <c r="F3" s="77" t="s">
        <v>4</v>
      </c>
      <c r="G3" s="74" t="s">
        <v>1</v>
      </c>
      <c r="H3" s="75" t="s">
        <v>2</v>
      </c>
      <c r="I3" s="76" t="s">
        <v>3</v>
      </c>
      <c r="J3" s="77" t="s">
        <v>107</v>
      </c>
      <c r="K3" s="78" t="s">
        <v>1</v>
      </c>
      <c r="L3" s="75" t="s">
        <v>2</v>
      </c>
      <c r="M3" s="76" t="s">
        <v>3</v>
      </c>
      <c r="N3" s="77" t="s">
        <v>4</v>
      </c>
      <c r="O3" s="178" t="s">
        <v>110</v>
      </c>
      <c r="P3" s="76" t="s">
        <v>111</v>
      </c>
      <c r="Q3" s="76" t="s">
        <v>5</v>
      </c>
      <c r="R3" s="77" t="s">
        <v>4</v>
      </c>
    </row>
    <row r="4" spans="1:26" ht="18.75" customHeight="1" x14ac:dyDescent="0.35">
      <c r="A4" s="148" t="s">
        <v>11</v>
      </c>
      <c r="B4" s="144"/>
      <c r="C4" s="80"/>
      <c r="D4" s="28"/>
      <c r="E4" s="28"/>
      <c r="F4" s="29"/>
      <c r="G4" s="79"/>
      <c r="H4" s="28"/>
      <c r="I4" s="28"/>
      <c r="J4" s="29"/>
      <c r="K4" s="80"/>
      <c r="L4" s="28"/>
      <c r="M4" s="28"/>
      <c r="N4" s="29"/>
      <c r="O4" s="66"/>
      <c r="P4" s="66"/>
      <c r="Q4" s="30"/>
      <c r="R4" s="31"/>
    </row>
    <row r="5" spans="1:26" ht="18.75" customHeight="1" x14ac:dyDescent="0.35">
      <c r="A5" s="145" t="s">
        <v>7</v>
      </c>
      <c r="B5" s="145" t="s">
        <v>8</v>
      </c>
      <c r="C5" s="82">
        <f>9283+512.05+676.4</f>
        <v>10471.449999999999</v>
      </c>
      <c r="D5" s="20">
        <f>ROUND(C5/18,2)</f>
        <v>581.75</v>
      </c>
      <c r="E5" s="20"/>
      <c r="F5" s="21">
        <f>SUM(D5,E6:E7)</f>
        <v>584.9</v>
      </c>
      <c r="G5" s="81">
        <v>8082</v>
      </c>
      <c r="H5" s="20">
        <f>ROUND(G5/18,2)</f>
        <v>449</v>
      </c>
      <c r="I5" s="20"/>
      <c r="J5" s="21">
        <f>SUM(H5,I6:I7)</f>
        <v>453.95</v>
      </c>
      <c r="K5" s="82">
        <v>9</v>
      </c>
      <c r="L5" s="20">
        <f>ROUND(K5/18,2)</f>
        <v>0.5</v>
      </c>
      <c r="M5" s="20"/>
      <c r="N5" s="21">
        <f>SUM(L5,M6:M7)</f>
        <v>0.5</v>
      </c>
      <c r="O5" s="22">
        <f>SUMIF($C$3:$N$3,"SCH",C5:N5)</f>
        <v>18562.449999999997</v>
      </c>
      <c r="P5" s="22">
        <f>ROUND(O5/36,2)</f>
        <v>515.62</v>
      </c>
      <c r="Q5" s="22"/>
      <c r="R5" s="23">
        <f>SUM(P5,Q6:Q7)</f>
        <v>519.66999999999996</v>
      </c>
    </row>
    <row r="6" spans="1:26" ht="18.75" customHeight="1" x14ac:dyDescent="0.35">
      <c r="A6" s="145"/>
      <c r="B6" s="145" t="s">
        <v>9</v>
      </c>
      <c r="C6" s="82">
        <v>21</v>
      </c>
      <c r="D6" s="20">
        <f>ROUND(C6/12,2)</f>
        <v>1.75</v>
      </c>
      <c r="E6" s="20">
        <f>D6*1.8</f>
        <v>3.15</v>
      </c>
      <c r="F6" s="21"/>
      <c r="G6" s="81">
        <v>33</v>
      </c>
      <c r="H6" s="20">
        <f>ROUND(G6/12,2)</f>
        <v>2.75</v>
      </c>
      <c r="I6" s="20">
        <f>H6*1.8</f>
        <v>4.95</v>
      </c>
      <c r="J6" s="21"/>
      <c r="K6" s="82"/>
      <c r="L6" s="20">
        <f>ROUND(K6/12,2)</f>
        <v>0</v>
      </c>
      <c r="M6" s="20">
        <f>L6*1.8</f>
        <v>0</v>
      </c>
      <c r="N6" s="21"/>
      <c r="O6" s="22">
        <f>SUMIF($C$3:$N$3,"SCH",C6:N6)</f>
        <v>54</v>
      </c>
      <c r="P6" s="22">
        <f t="shared" ref="P6:P7" si="0">ROUND(O6/24,2)</f>
        <v>2.25</v>
      </c>
      <c r="Q6" s="22">
        <f t="shared" ref="Q6:Q7" si="1">P6*1.8</f>
        <v>4.05</v>
      </c>
      <c r="R6" s="23"/>
    </row>
    <row r="7" spans="1:26" ht="18.75" customHeight="1" thickBot="1" x14ac:dyDescent="0.4">
      <c r="A7" s="146"/>
      <c r="B7" s="146" t="s">
        <v>10</v>
      </c>
      <c r="C7" s="84"/>
      <c r="D7" s="24">
        <f>ROUND(C7/12,2)</f>
        <v>0</v>
      </c>
      <c r="E7" s="24">
        <f>D7*1.8</f>
        <v>0</v>
      </c>
      <c r="F7" s="25"/>
      <c r="G7" s="83"/>
      <c r="H7" s="24">
        <f>ROUND(G7/12,2)</f>
        <v>0</v>
      </c>
      <c r="I7" s="24">
        <f>H7*1.8</f>
        <v>0</v>
      </c>
      <c r="J7" s="25"/>
      <c r="K7" s="84"/>
      <c r="L7" s="24">
        <f>ROUND(K7/12,2)</f>
        <v>0</v>
      </c>
      <c r="M7" s="24">
        <f>L7*1.8</f>
        <v>0</v>
      </c>
      <c r="N7" s="25"/>
      <c r="O7" s="92">
        <f>SUMIF($C$3:$N$3,"SCH",C7:N7)</f>
        <v>0</v>
      </c>
      <c r="P7" s="26">
        <f t="shared" si="0"/>
        <v>0</v>
      </c>
      <c r="Q7" s="26">
        <f t="shared" si="1"/>
        <v>0</v>
      </c>
      <c r="R7" s="27"/>
    </row>
    <row r="8" spans="1:26" ht="18.75" customHeight="1" x14ac:dyDescent="0.35">
      <c r="A8" s="171" t="s">
        <v>123</v>
      </c>
      <c r="B8" s="147"/>
      <c r="C8" s="88"/>
      <c r="D8" s="86"/>
      <c r="E8" s="86"/>
      <c r="F8" s="87"/>
      <c r="G8" s="85"/>
      <c r="H8" s="86"/>
      <c r="I8" s="86"/>
      <c r="J8" s="87"/>
      <c r="K8" s="88"/>
      <c r="L8" s="86"/>
      <c r="M8" s="86"/>
      <c r="N8" s="87"/>
      <c r="O8" s="66"/>
      <c r="P8" s="89"/>
      <c r="Q8" s="89"/>
      <c r="R8" s="90"/>
    </row>
    <row r="9" spans="1:26" ht="18.75" customHeight="1" x14ac:dyDescent="0.35">
      <c r="A9" s="278" t="s">
        <v>124</v>
      </c>
      <c r="B9" s="145" t="s">
        <v>8</v>
      </c>
      <c r="C9" s="82">
        <v>160</v>
      </c>
      <c r="D9" s="20">
        <f>ROUND(C9/18,2)</f>
        <v>8.89</v>
      </c>
      <c r="E9" s="20"/>
      <c r="F9" s="21">
        <f>SUM(D9,E10:E11)</f>
        <v>8.89</v>
      </c>
      <c r="G9" s="81"/>
      <c r="H9" s="20">
        <f>ROUND(G9/18,2)</f>
        <v>0</v>
      </c>
      <c r="I9" s="20"/>
      <c r="J9" s="21">
        <f>SUM(H9,I10:I11)</f>
        <v>0</v>
      </c>
      <c r="K9" s="82"/>
      <c r="L9" s="20">
        <f>ROUND(K9/18,2)</f>
        <v>0</v>
      </c>
      <c r="M9" s="20"/>
      <c r="N9" s="21">
        <f>SUM(L9,M10:M11)</f>
        <v>0</v>
      </c>
      <c r="O9" s="22">
        <f>SUMIF($C$3:$N$3,"SCH",C9:N9)</f>
        <v>160</v>
      </c>
      <c r="P9" s="22">
        <f>ROUND(O9/36,2)</f>
        <v>4.4400000000000004</v>
      </c>
      <c r="Q9" s="22"/>
      <c r="R9" s="23">
        <f>SUM(P9,Q10:Q11)</f>
        <v>4.4400000000000004</v>
      </c>
    </row>
    <row r="10" spans="1:26" ht="18.75" customHeight="1" x14ac:dyDescent="0.35">
      <c r="A10" s="172"/>
      <c r="B10" s="145" t="s">
        <v>9</v>
      </c>
      <c r="C10" s="82"/>
      <c r="D10" s="20">
        <f>ROUND(C10/12,2)</f>
        <v>0</v>
      </c>
      <c r="E10" s="20">
        <f>D10*1.8</f>
        <v>0</v>
      </c>
      <c r="F10" s="21"/>
      <c r="G10" s="81"/>
      <c r="H10" s="20">
        <f>ROUND(G10/12,2)</f>
        <v>0</v>
      </c>
      <c r="I10" s="20">
        <f>H10*1.8</f>
        <v>0</v>
      </c>
      <c r="J10" s="21"/>
      <c r="K10" s="82"/>
      <c r="L10" s="20">
        <f>ROUND(K10/12,2)</f>
        <v>0</v>
      </c>
      <c r="M10" s="20">
        <f>L10*1.8</f>
        <v>0</v>
      </c>
      <c r="N10" s="21"/>
      <c r="O10" s="22">
        <f>SUMIF($C$3:$N$3,"SCH",C10:N10)</f>
        <v>0</v>
      </c>
      <c r="P10" s="22">
        <f>ROUND(O10/24,2)</f>
        <v>0</v>
      </c>
      <c r="Q10" s="22">
        <f>P10*1.8</f>
        <v>0</v>
      </c>
      <c r="R10" s="23"/>
    </row>
    <row r="11" spans="1:26" ht="18.75" customHeight="1" thickBot="1" x14ac:dyDescent="0.4">
      <c r="A11" s="146"/>
      <c r="B11" s="146" t="s">
        <v>10</v>
      </c>
      <c r="C11" s="84"/>
      <c r="D11" s="24">
        <f>ROUND(C11/12,2)</f>
        <v>0</v>
      </c>
      <c r="E11" s="24">
        <f>D11*1.8</f>
        <v>0</v>
      </c>
      <c r="F11" s="24"/>
      <c r="G11" s="83"/>
      <c r="H11" s="24">
        <f>ROUND(G11/12,2)</f>
        <v>0</v>
      </c>
      <c r="I11" s="24">
        <f>H11*1.8</f>
        <v>0</v>
      </c>
      <c r="J11" s="24"/>
      <c r="K11" s="84"/>
      <c r="L11" s="24">
        <f>ROUND(K11/12,2)</f>
        <v>0</v>
      </c>
      <c r="M11" s="24">
        <f>L11*1.8</f>
        <v>0</v>
      </c>
      <c r="N11" s="91"/>
      <c r="O11" s="92">
        <f>SUMIF($C$3:$N$3,"SCH",C11:N11)</f>
        <v>0</v>
      </c>
      <c r="P11" s="26">
        <f>ROUND(O11/24,2)</f>
        <v>0</v>
      </c>
      <c r="Q11" s="26">
        <f>P11*1.8</f>
        <v>0</v>
      </c>
      <c r="R11" s="27"/>
    </row>
    <row r="12" spans="1:26" ht="18.75" customHeight="1" x14ac:dyDescent="0.35">
      <c r="A12" s="171" t="s">
        <v>125</v>
      </c>
      <c r="B12" s="147"/>
      <c r="C12" s="88"/>
      <c r="D12" s="86"/>
      <c r="E12" s="86"/>
      <c r="F12" s="87"/>
      <c r="G12" s="85"/>
      <c r="H12" s="86"/>
      <c r="I12" s="86"/>
      <c r="J12" s="87"/>
      <c r="K12" s="88"/>
      <c r="L12" s="86"/>
      <c r="M12" s="86"/>
      <c r="N12" s="87"/>
      <c r="O12" s="66"/>
      <c r="P12" s="89"/>
      <c r="Q12" s="89"/>
      <c r="R12" s="90"/>
    </row>
    <row r="13" spans="1:26" ht="18.75" customHeight="1" x14ac:dyDescent="0.35">
      <c r="A13" s="278" t="s">
        <v>38</v>
      </c>
      <c r="B13" s="145" t="s">
        <v>8</v>
      </c>
      <c r="C13" s="82">
        <v>285</v>
      </c>
      <c r="D13" s="20">
        <f>ROUND(C13/18,2)</f>
        <v>15.83</v>
      </c>
      <c r="E13" s="20"/>
      <c r="F13" s="21">
        <f>SUM(D13,E14:E15)</f>
        <v>15.83</v>
      </c>
      <c r="G13" s="81"/>
      <c r="H13" s="20">
        <f>ROUND(G13/18,2)</f>
        <v>0</v>
      </c>
      <c r="I13" s="20"/>
      <c r="J13" s="21">
        <f>SUM(H13,I14:I15)</f>
        <v>0</v>
      </c>
      <c r="K13" s="82"/>
      <c r="L13" s="20">
        <f>ROUND(K13/18,2)</f>
        <v>0</v>
      </c>
      <c r="M13" s="20"/>
      <c r="N13" s="21">
        <f>SUM(L13,M14:M15)</f>
        <v>0</v>
      </c>
      <c r="O13" s="22">
        <f>SUMIF($C$3:$N$3,"SCH",C13:N13)</f>
        <v>285</v>
      </c>
      <c r="P13" s="22">
        <f>ROUND(O13/36,2)</f>
        <v>7.92</v>
      </c>
      <c r="Q13" s="22"/>
      <c r="R13" s="23">
        <f>SUM(P13,Q14:Q15)</f>
        <v>7.92</v>
      </c>
    </row>
    <row r="14" spans="1:26" ht="18.75" customHeight="1" x14ac:dyDescent="0.35">
      <c r="A14" s="172"/>
      <c r="B14" s="145" t="s">
        <v>9</v>
      </c>
      <c r="C14" s="82"/>
      <c r="D14" s="20">
        <f>ROUND(C14/12,2)</f>
        <v>0</v>
      </c>
      <c r="E14" s="20">
        <f>D14*1.8</f>
        <v>0</v>
      </c>
      <c r="F14" s="21"/>
      <c r="G14" s="81"/>
      <c r="H14" s="20">
        <f>ROUND(G14/12,2)</f>
        <v>0</v>
      </c>
      <c r="I14" s="20">
        <f>H14*1.8</f>
        <v>0</v>
      </c>
      <c r="J14" s="21"/>
      <c r="K14" s="82"/>
      <c r="L14" s="20">
        <f>ROUND(K14/12,2)</f>
        <v>0</v>
      </c>
      <c r="M14" s="20">
        <f>L14*1.8</f>
        <v>0</v>
      </c>
      <c r="N14" s="21"/>
      <c r="O14" s="22">
        <f>SUMIF($C$3:$N$3,"SCH",C14:N14)</f>
        <v>0</v>
      </c>
      <c r="P14" s="22">
        <f>ROUND(O14/24,2)</f>
        <v>0</v>
      </c>
      <c r="Q14" s="22">
        <f>P14*1.8</f>
        <v>0</v>
      </c>
      <c r="R14" s="23"/>
    </row>
    <row r="15" spans="1:26" ht="18.75" customHeight="1" thickBot="1" x14ac:dyDescent="0.4">
      <c r="A15" s="146"/>
      <c r="B15" s="146" t="s">
        <v>10</v>
      </c>
      <c r="C15" s="84"/>
      <c r="D15" s="24">
        <f>ROUND(C15/12,2)</f>
        <v>0</v>
      </c>
      <c r="E15" s="24">
        <f>D15*1.8</f>
        <v>0</v>
      </c>
      <c r="F15" s="24"/>
      <c r="G15" s="83"/>
      <c r="H15" s="24">
        <f>ROUND(G15/12,2)</f>
        <v>0</v>
      </c>
      <c r="I15" s="24">
        <f>H15*1.8</f>
        <v>0</v>
      </c>
      <c r="J15" s="24"/>
      <c r="K15" s="84"/>
      <c r="L15" s="24">
        <f>ROUND(K15/12,2)</f>
        <v>0</v>
      </c>
      <c r="M15" s="24">
        <f>L15*1.8</f>
        <v>0</v>
      </c>
      <c r="N15" s="91"/>
      <c r="O15" s="92">
        <f>SUMIF($C$3:$N$3,"SCH",C15:N15)</f>
        <v>0</v>
      </c>
      <c r="P15" s="26">
        <f>ROUND(O15/24,2)</f>
        <v>0</v>
      </c>
      <c r="Q15" s="26">
        <f>P15*1.8</f>
        <v>0</v>
      </c>
      <c r="R15" s="27"/>
    </row>
    <row r="16" spans="1:26" ht="18.75" customHeight="1" x14ac:dyDescent="0.35">
      <c r="A16" s="171" t="s">
        <v>6</v>
      </c>
      <c r="B16" s="147"/>
      <c r="C16" s="88"/>
      <c r="D16" s="86"/>
      <c r="E16" s="86"/>
      <c r="F16" s="87"/>
      <c r="G16" s="85"/>
      <c r="H16" s="86"/>
      <c r="I16" s="86"/>
      <c r="J16" s="87"/>
      <c r="K16" s="88"/>
      <c r="L16" s="86"/>
      <c r="M16" s="86"/>
      <c r="N16" s="87"/>
      <c r="O16" s="66"/>
      <c r="P16" s="89"/>
      <c r="Q16" s="89"/>
      <c r="R16" s="90"/>
    </row>
    <row r="17" spans="1:18" ht="18.75" customHeight="1" x14ac:dyDescent="0.35">
      <c r="A17" s="145" t="s">
        <v>7</v>
      </c>
      <c r="B17" s="145" t="s">
        <v>8</v>
      </c>
      <c r="C17" s="82">
        <f>2907+3303+14416.25</f>
        <v>20626.25</v>
      </c>
      <c r="D17" s="20">
        <f>ROUND(C17/18,2)</f>
        <v>1145.9000000000001</v>
      </c>
      <c r="E17" s="20"/>
      <c r="F17" s="21">
        <f>SUM(D17,E18:E19)</f>
        <v>1145.9000000000001</v>
      </c>
      <c r="G17" s="81">
        <v>8429</v>
      </c>
      <c r="H17" s="20">
        <f>ROUND(G17/18,2)</f>
        <v>468.28</v>
      </c>
      <c r="I17" s="20"/>
      <c r="J17" s="21">
        <f>SUM(H17,I18:I19)</f>
        <v>468.28</v>
      </c>
      <c r="K17" s="82"/>
      <c r="L17" s="20">
        <f>ROUND(K17/18,2)</f>
        <v>0</v>
      </c>
      <c r="M17" s="20"/>
      <c r="N17" s="21">
        <f>SUM(L17,M18:M19)</f>
        <v>0</v>
      </c>
      <c r="O17" s="22">
        <f>SUMIF($C$3:$N$3,"SCH",C17:N17)</f>
        <v>29055.25</v>
      </c>
      <c r="P17" s="22">
        <f>ROUND(O17/36,2)</f>
        <v>807.09</v>
      </c>
      <c r="Q17" s="22"/>
      <c r="R17" s="23">
        <f>SUM(P17,Q18:Q19)</f>
        <v>807.09</v>
      </c>
    </row>
    <row r="18" spans="1:18" ht="18.75" customHeight="1" x14ac:dyDescent="0.35">
      <c r="A18" s="172"/>
      <c r="B18" s="145" t="s">
        <v>9</v>
      </c>
      <c r="C18" s="82"/>
      <c r="D18" s="20">
        <f>ROUND(C18/12,2)</f>
        <v>0</v>
      </c>
      <c r="E18" s="20">
        <f>D18*1.8</f>
        <v>0</v>
      </c>
      <c r="F18" s="21"/>
      <c r="G18" s="81"/>
      <c r="H18" s="20">
        <f>ROUND(G18/12,2)</f>
        <v>0</v>
      </c>
      <c r="I18" s="20">
        <f>H18*1.8</f>
        <v>0</v>
      </c>
      <c r="J18" s="21"/>
      <c r="K18" s="82"/>
      <c r="L18" s="20">
        <f>ROUND(K18/12,2)</f>
        <v>0</v>
      </c>
      <c r="M18" s="20">
        <f>L18*1.8</f>
        <v>0</v>
      </c>
      <c r="N18" s="21"/>
      <c r="O18" s="22">
        <f>SUMIF($C$3:$N$3,"SCH",C18:N18)</f>
        <v>0</v>
      </c>
      <c r="P18" s="22">
        <f>ROUND(O18/24,2)</f>
        <v>0</v>
      </c>
      <c r="Q18" s="22">
        <f>P18*1.8</f>
        <v>0</v>
      </c>
      <c r="R18" s="23"/>
    </row>
    <row r="19" spans="1:18" ht="18.75" customHeight="1" thickBot="1" x14ac:dyDescent="0.4">
      <c r="A19" s="146"/>
      <c r="B19" s="146" t="s">
        <v>10</v>
      </c>
      <c r="C19" s="84"/>
      <c r="D19" s="24">
        <f>ROUND(C19/12,2)</f>
        <v>0</v>
      </c>
      <c r="E19" s="24">
        <f>D19*1.8</f>
        <v>0</v>
      </c>
      <c r="F19" s="24"/>
      <c r="G19" s="83"/>
      <c r="H19" s="24">
        <f>ROUND(G19/12,2)</f>
        <v>0</v>
      </c>
      <c r="I19" s="24">
        <f>H19*1.8</f>
        <v>0</v>
      </c>
      <c r="J19" s="24"/>
      <c r="K19" s="84"/>
      <c r="L19" s="24">
        <f>ROUND(K19/12,2)</f>
        <v>0</v>
      </c>
      <c r="M19" s="24">
        <f>L19*1.8</f>
        <v>0</v>
      </c>
      <c r="N19" s="91"/>
      <c r="O19" s="92">
        <f>SUMIF($C$3:$N$3,"SCH",C19:N19)</f>
        <v>0</v>
      </c>
      <c r="P19" s="26">
        <f>ROUND(O19/24,2)</f>
        <v>0</v>
      </c>
      <c r="Q19" s="26">
        <f>P19*1.8</f>
        <v>0</v>
      </c>
      <c r="R19" s="27"/>
    </row>
    <row r="20" spans="1:18" ht="18.75" customHeight="1" x14ac:dyDescent="0.35">
      <c r="A20" s="148" t="s">
        <v>12</v>
      </c>
      <c r="B20" s="148"/>
      <c r="C20" s="80"/>
      <c r="D20" s="28"/>
      <c r="E20" s="28"/>
      <c r="F20" s="29"/>
      <c r="G20" s="79"/>
      <c r="H20" s="28"/>
      <c r="I20" s="28"/>
      <c r="J20" s="29"/>
      <c r="K20" s="80"/>
      <c r="L20" s="28"/>
      <c r="M20" s="28"/>
      <c r="N20" s="29"/>
      <c r="O20" s="30"/>
      <c r="P20" s="30"/>
      <c r="Q20" s="30"/>
      <c r="R20" s="31"/>
    </row>
    <row r="21" spans="1:18" ht="18.75" customHeight="1" x14ac:dyDescent="0.35">
      <c r="A21" s="145" t="s">
        <v>7</v>
      </c>
      <c r="B21" s="145" t="s">
        <v>8</v>
      </c>
      <c r="C21" s="82">
        <f>354+9509</f>
        <v>9863</v>
      </c>
      <c r="D21" s="20">
        <f>ROUND(C21/18,2)</f>
        <v>547.94000000000005</v>
      </c>
      <c r="E21" s="20"/>
      <c r="F21" s="21">
        <f>SUM(D21,E22:E23)</f>
        <v>679.36</v>
      </c>
      <c r="G21" s="81">
        <v>8092</v>
      </c>
      <c r="H21" s="20">
        <f>ROUND(G21/18,2)</f>
        <v>449.56</v>
      </c>
      <c r="I21" s="20"/>
      <c r="J21" s="21">
        <f>SUM(H21,I22:I23)</f>
        <v>528.05999999999995</v>
      </c>
      <c r="K21" s="82">
        <v>38</v>
      </c>
      <c r="L21" s="20">
        <f>ROUND(K21/18,2)</f>
        <v>2.11</v>
      </c>
      <c r="M21" s="20"/>
      <c r="N21" s="21">
        <f>SUM(L21,M22:M23)</f>
        <v>2.11</v>
      </c>
      <c r="O21" s="22">
        <f>SUMIF($C$3:$N$3,"SCH",C21:N21)</f>
        <v>17993</v>
      </c>
      <c r="P21" s="22">
        <f>ROUND(O21/36,2)</f>
        <v>499.81</v>
      </c>
      <c r="Q21" s="22"/>
      <c r="R21" s="23">
        <f>SUM(P21,Q22:Q23)</f>
        <v>604.77</v>
      </c>
    </row>
    <row r="22" spans="1:18" ht="18.75" customHeight="1" x14ac:dyDescent="0.35">
      <c r="A22" s="172"/>
      <c r="B22" s="145" t="s">
        <v>9</v>
      </c>
      <c r="C22" s="82">
        <f>1306+10</f>
        <v>1316</v>
      </c>
      <c r="D22" s="20">
        <f>ROUND(C22/12,2)</f>
        <v>109.67</v>
      </c>
      <c r="E22" s="20">
        <f>D22*1</f>
        <v>109.67</v>
      </c>
      <c r="F22" s="21"/>
      <c r="G22" s="81">
        <v>858</v>
      </c>
      <c r="H22" s="20">
        <f>ROUND(G22/12,2)</f>
        <v>71.5</v>
      </c>
      <c r="I22" s="20">
        <f>H22*1</f>
        <v>71.5</v>
      </c>
      <c r="J22" s="21"/>
      <c r="K22" s="82"/>
      <c r="L22" s="20">
        <f>ROUND(K22/12,2)</f>
        <v>0</v>
      </c>
      <c r="M22" s="20">
        <f>L22*1</f>
        <v>0</v>
      </c>
      <c r="N22" s="21"/>
      <c r="O22" s="22">
        <f>SUMIF($C$3:$N$3,"SCH",C22:N22)</f>
        <v>2174</v>
      </c>
      <c r="P22" s="22">
        <f t="shared" ref="P22:P23" si="2">ROUND(O22/24,2)</f>
        <v>90.58</v>
      </c>
      <c r="Q22" s="22">
        <f t="shared" ref="Q22:Q23" si="3">P22*1</f>
        <v>90.58</v>
      </c>
      <c r="R22" s="23"/>
    </row>
    <row r="23" spans="1:18" ht="18.75" customHeight="1" thickBot="1" x14ac:dyDescent="0.4">
      <c r="A23" s="146"/>
      <c r="B23" s="146" t="s">
        <v>10</v>
      </c>
      <c r="C23" s="84">
        <v>261</v>
      </c>
      <c r="D23" s="24">
        <f>ROUND(C23/12,2)</f>
        <v>21.75</v>
      </c>
      <c r="E23" s="24">
        <f>D23*1</f>
        <v>21.75</v>
      </c>
      <c r="F23" s="25"/>
      <c r="G23" s="83">
        <v>84</v>
      </c>
      <c r="H23" s="24">
        <f>ROUND(G23/12,2)</f>
        <v>7</v>
      </c>
      <c r="I23" s="24">
        <f>H23*1</f>
        <v>7</v>
      </c>
      <c r="J23" s="25"/>
      <c r="K23" s="84"/>
      <c r="L23" s="24">
        <f>ROUND(K23/12,2)</f>
        <v>0</v>
      </c>
      <c r="M23" s="24">
        <f>L23*1</f>
        <v>0</v>
      </c>
      <c r="N23" s="25"/>
      <c r="O23" s="92">
        <f>SUMIF($C$3:$N$3,"SCH",C23:N23)</f>
        <v>345</v>
      </c>
      <c r="P23" s="26">
        <f t="shared" si="2"/>
        <v>14.38</v>
      </c>
      <c r="Q23" s="26">
        <f t="shared" si="3"/>
        <v>14.38</v>
      </c>
      <c r="R23" s="27"/>
    </row>
    <row r="24" spans="1:18" ht="18.75" customHeight="1" x14ac:dyDescent="0.35">
      <c r="A24" s="148" t="s">
        <v>13</v>
      </c>
      <c r="B24" s="149"/>
      <c r="C24" s="80"/>
      <c r="D24" s="28"/>
      <c r="E24" s="28"/>
      <c r="F24" s="29"/>
      <c r="G24" s="79"/>
      <c r="H24" s="28"/>
      <c r="I24" s="28"/>
      <c r="J24" s="29"/>
      <c r="K24" s="80"/>
      <c r="L24" s="28"/>
      <c r="M24" s="28"/>
      <c r="N24" s="29"/>
      <c r="O24" s="66"/>
      <c r="P24" s="30"/>
      <c r="Q24" s="30"/>
      <c r="R24" s="31"/>
    </row>
    <row r="25" spans="1:18" ht="18.75" customHeight="1" x14ac:dyDescent="0.35">
      <c r="A25" s="145" t="s">
        <v>7</v>
      </c>
      <c r="B25" s="150" t="s">
        <v>8</v>
      </c>
      <c r="C25" s="80">
        <f>8254+1187.405</f>
        <v>9441.4050000000007</v>
      </c>
      <c r="D25" s="28">
        <f>ROUND(C25/18,2)</f>
        <v>524.52</v>
      </c>
      <c r="E25" s="28"/>
      <c r="F25" s="29">
        <f>SUM(D25,E26:E27)</f>
        <v>524.52</v>
      </c>
      <c r="G25" s="79">
        <f>588+1215</f>
        <v>1803</v>
      </c>
      <c r="H25" s="28">
        <f>ROUND(G25/18,2)</f>
        <v>100.17</v>
      </c>
      <c r="I25" s="28"/>
      <c r="J25" s="29">
        <f>SUM(H25,I26:I27)</f>
        <v>100.17</v>
      </c>
      <c r="K25" s="80">
        <v>414</v>
      </c>
      <c r="L25" s="28">
        <f>ROUND(K25/18,2)</f>
        <v>23</v>
      </c>
      <c r="M25" s="28"/>
      <c r="N25" s="29">
        <f>SUM(L25,M26:M27)</f>
        <v>23</v>
      </c>
      <c r="O25" s="22">
        <f t="shared" ref="O25:O91" si="4">SUMIF($C$3:$N$3,"SCH",C25:N25)</f>
        <v>11658.405000000001</v>
      </c>
      <c r="P25" s="30">
        <f>ROUND(O25/36,2)</f>
        <v>323.83999999999997</v>
      </c>
      <c r="Q25" s="30"/>
      <c r="R25" s="31">
        <f>SUM(P25,Q26:Q27)</f>
        <v>323.83999999999997</v>
      </c>
    </row>
    <row r="26" spans="1:18" ht="18.75" customHeight="1" x14ac:dyDescent="0.35">
      <c r="A26" s="148"/>
      <c r="B26" s="150" t="s">
        <v>9</v>
      </c>
      <c r="C26" s="80"/>
      <c r="D26" s="28">
        <f>ROUND(C26/12,2)</f>
        <v>0</v>
      </c>
      <c r="E26" s="28">
        <f>D26*1</f>
        <v>0</v>
      </c>
      <c r="F26" s="29"/>
      <c r="G26" s="79"/>
      <c r="H26" s="28">
        <f>ROUND(G26/12,2)</f>
        <v>0</v>
      </c>
      <c r="I26" s="28">
        <f>H26*1</f>
        <v>0</v>
      </c>
      <c r="J26" s="29"/>
      <c r="K26" s="80"/>
      <c r="L26" s="28">
        <f>ROUND(K26/12,2)</f>
        <v>0</v>
      </c>
      <c r="M26" s="28">
        <f>L26*1</f>
        <v>0</v>
      </c>
      <c r="N26" s="29"/>
      <c r="O26" s="22">
        <f t="shared" si="4"/>
        <v>0</v>
      </c>
      <c r="P26" s="30">
        <f t="shared" ref="P26:P27" si="5">ROUND(O26/24,2)</f>
        <v>0</v>
      </c>
      <c r="Q26" s="30">
        <f t="shared" ref="Q26:Q27" si="6">P26*1</f>
        <v>0</v>
      </c>
      <c r="R26" s="31"/>
    </row>
    <row r="27" spans="1:18" ht="18.75" customHeight="1" x14ac:dyDescent="0.35">
      <c r="A27" s="148"/>
      <c r="B27" s="150" t="s">
        <v>10</v>
      </c>
      <c r="C27" s="80"/>
      <c r="D27" s="28">
        <f>ROUND(C27/12,2)</f>
        <v>0</v>
      </c>
      <c r="E27" s="28">
        <f>D27*1</f>
        <v>0</v>
      </c>
      <c r="F27" s="29"/>
      <c r="G27" s="79"/>
      <c r="H27" s="28">
        <f>ROUND(G27/12,2)</f>
        <v>0</v>
      </c>
      <c r="I27" s="28">
        <f>H27*1</f>
        <v>0</v>
      </c>
      <c r="J27" s="29"/>
      <c r="K27" s="80"/>
      <c r="L27" s="28">
        <f>ROUND(K27/12,2)</f>
        <v>0</v>
      </c>
      <c r="M27" s="28">
        <f>L27*1</f>
        <v>0</v>
      </c>
      <c r="N27" s="29"/>
      <c r="O27" s="22">
        <f t="shared" si="4"/>
        <v>0</v>
      </c>
      <c r="P27" s="30">
        <f t="shared" si="5"/>
        <v>0</v>
      </c>
      <c r="Q27" s="30">
        <f t="shared" si="6"/>
        <v>0</v>
      </c>
      <c r="R27" s="31"/>
    </row>
    <row r="28" spans="1:18" ht="18.75" customHeight="1" x14ac:dyDescent="0.35">
      <c r="A28" s="145" t="s">
        <v>14</v>
      </c>
      <c r="B28" s="145" t="s">
        <v>8</v>
      </c>
      <c r="C28" s="82"/>
      <c r="D28" s="20">
        <f>ROUND(C28/18,2)</f>
        <v>0</v>
      </c>
      <c r="E28" s="20"/>
      <c r="F28" s="21">
        <f>SUM(D28,E29:E30)</f>
        <v>0</v>
      </c>
      <c r="G28" s="81"/>
      <c r="H28" s="20">
        <f>ROUND(G28/18,2)</f>
        <v>0</v>
      </c>
      <c r="I28" s="20"/>
      <c r="J28" s="21">
        <f>SUM(H28,I29:I30)</f>
        <v>0</v>
      </c>
      <c r="K28" s="82"/>
      <c r="L28" s="20">
        <f>ROUND(K28/18,2)</f>
        <v>0</v>
      </c>
      <c r="M28" s="20"/>
      <c r="N28" s="21">
        <f>SUM(L28,M29:M30)</f>
        <v>0</v>
      </c>
      <c r="O28" s="22">
        <f t="shared" si="4"/>
        <v>0</v>
      </c>
      <c r="P28" s="22">
        <f>ROUND(O28/36,2)</f>
        <v>0</v>
      </c>
      <c r="Q28" s="22"/>
      <c r="R28" s="23">
        <f>SUM(P28,Q29:Q30)</f>
        <v>0</v>
      </c>
    </row>
    <row r="29" spans="1:18" ht="18.75" customHeight="1" x14ac:dyDescent="0.35">
      <c r="A29" s="145"/>
      <c r="B29" s="145" t="s">
        <v>9</v>
      </c>
      <c r="C29" s="82"/>
      <c r="D29" s="20">
        <f>ROUND(C29/12,2)</f>
        <v>0</v>
      </c>
      <c r="E29" s="28">
        <f>D29*1</f>
        <v>0</v>
      </c>
      <c r="F29" s="21"/>
      <c r="G29" s="81"/>
      <c r="H29" s="20">
        <f>ROUND(G29/12,2)</f>
        <v>0</v>
      </c>
      <c r="I29" s="28">
        <f>H29*1</f>
        <v>0</v>
      </c>
      <c r="J29" s="21"/>
      <c r="K29" s="82"/>
      <c r="L29" s="20">
        <f>ROUND(K29/12,2)</f>
        <v>0</v>
      </c>
      <c r="M29" s="28">
        <f>L29*1</f>
        <v>0</v>
      </c>
      <c r="N29" s="21"/>
      <c r="O29" s="22">
        <f t="shared" si="4"/>
        <v>0</v>
      </c>
      <c r="P29" s="22">
        <f t="shared" ref="P29:P30" si="7">ROUND(O29/24,2)</f>
        <v>0</v>
      </c>
      <c r="Q29" s="22">
        <f t="shared" ref="Q29:Q30" si="8">P29*1</f>
        <v>0</v>
      </c>
      <c r="R29" s="23"/>
    </row>
    <row r="30" spans="1:18" ht="18.75" customHeight="1" x14ac:dyDescent="0.35">
      <c r="A30" s="145"/>
      <c r="B30" s="145" t="s">
        <v>10</v>
      </c>
      <c r="C30" s="82"/>
      <c r="D30" s="20">
        <f>ROUND(C30/12,2)</f>
        <v>0</v>
      </c>
      <c r="E30" s="28">
        <f>D30*1</f>
        <v>0</v>
      </c>
      <c r="F30" s="21"/>
      <c r="G30" s="81"/>
      <c r="H30" s="20">
        <f>ROUND(G30/12,2)</f>
        <v>0</v>
      </c>
      <c r="I30" s="28">
        <f>H30*1</f>
        <v>0</v>
      </c>
      <c r="J30" s="21"/>
      <c r="K30" s="82"/>
      <c r="L30" s="20">
        <f>ROUND(K30/12,2)</f>
        <v>0</v>
      </c>
      <c r="M30" s="28">
        <f>L30*1</f>
        <v>0</v>
      </c>
      <c r="N30" s="21"/>
      <c r="O30" s="22">
        <f t="shared" si="4"/>
        <v>0</v>
      </c>
      <c r="P30" s="22">
        <f t="shared" si="7"/>
        <v>0</v>
      </c>
      <c r="Q30" s="22">
        <f t="shared" si="8"/>
        <v>0</v>
      </c>
      <c r="R30" s="23"/>
    </row>
    <row r="31" spans="1:18" ht="18.75" customHeight="1" x14ac:dyDescent="0.35">
      <c r="A31" s="145" t="s">
        <v>15</v>
      </c>
      <c r="B31" s="145" t="s">
        <v>8</v>
      </c>
      <c r="C31" s="82"/>
      <c r="D31" s="20">
        <f>ROUND(C31/18,2)</f>
        <v>0</v>
      </c>
      <c r="E31" s="20"/>
      <c r="F31" s="21">
        <f>SUM(D31,E32:E33)</f>
        <v>0</v>
      </c>
      <c r="G31" s="81"/>
      <c r="H31" s="20">
        <f>ROUND(G31/18,2)</f>
        <v>0</v>
      </c>
      <c r="I31" s="20"/>
      <c r="J31" s="21">
        <f>SUM(H31,I32:I33)</f>
        <v>0</v>
      </c>
      <c r="K31" s="82"/>
      <c r="L31" s="20">
        <f>ROUND(K31/18,2)</f>
        <v>0</v>
      </c>
      <c r="M31" s="20"/>
      <c r="N31" s="21">
        <f>SUM(L31,M32:M33)</f>
        <v>0</v>
      </c>
      <c r="O31" s="22">
        <f t="shared" si="4"/>
        <v>0</v>
      </c>
      <c r="P31" s="22">
        <f>ROUND(O31/36,2)</f>
        <v>0</v>
      </c>
      <c r="Q31" s="22"/>
      <c r="R31" s="23">
        <f>SUM(P31,Q32:Q33)</f>
        <v>0</v>
      </c>
    </row>
    <row r="32" spans="1:18" ht="18.75" customHeight="1" x14ac:dyDescent="0.35">
      <c r="A32" s="145"/>
      <c r="B32" s="145" t="s">
        <v>9</v>
      </c>
      <c r="C32" s="82"/>
      <c r="D32" s="20">
        <f>ROUND(C32/12,2)</f>
        <v>0</v>
      </c>
      <c r="E32" s="28">
        <f>D32*1</f>
        <v>0</v>
      </c>
      <c r="F32" s="21"/>
      <c r="G32" s="81"/>
      <c r="H32" s="20">
        <f>ROUND(G32/12,2)</f>
        <v>0</v>
      </c>
      <c r="I32" s="28">
        <f>H32*1</f>
        <v>0</v>
      </c>
      <c r="J32" s="21"/>
      <c r="K32" s="82"/>
      <c r="L32" s="20">
        <f>ROUND(K32/12,2)</f>
        <v>0</v>
      </c>
      <c r="M32" s="28">
        <f>L32*1</f>
        <v>0</v>
      </c>
      <c r="N32" s="21"/>
      <c r="O32" s="22">
        <f t="shared" si="4"/>
        <v>0</v>
      </c>
      <c r="P32" s="22">
        <f t="shared" ref="P32:P33" si="9">ROUND(O32/24,2)</f>
        <v>0</v>
      </c>
      <c r="Q32" s="22">
        <f t="shared" ref="Q32:Q33" si="10">P32*1</f>
        <v>0</v>
      </c>
      <c r="R32" s="23"/>
    </row>
    <row r="33" spans="1:18" ht="18.75" customHeight="1" x14ac:dyDescent="0.35">
      <c r="A33" s="145"/>
      <c r="B33" s="145" t="s">
        <v>10</v>
      </c>
      <c r="C33" s="82"/>
      <c r="D33" s="20">
        <f>ROUND(C33/12,2)</f>
        <v>0</v>
      </c>
      <c r="E33" s="28">
        <f>D33*1</f>
        <v>0</v>
      </c>
      <c r="F33" s="21"/>
      <c r="G33" s="81"/>
      <c r="H33" s="20">
        <f>ROUND(G33/12,2)</f>
        <v>0</v>
      </c>
      <c r="I33" s="28">
        <f>H33*1</f>
        <v>0</v>
      </c>
      <c r="J33" s="21"/>
      <c r="K33" s="82"/>
      <c r="L33" s="20">
        <f>ROUND(K33/12,2)</f>
        <v>0</v>
      </c>
      <c r="M33" s="28">
        <f>L33*1</f>
        <v>0</v>
      </c>
      <c r="N33" s="21"/>
      <c r="O33" s="22">
        <f t="shared" si="4"/>
        <v>0</v>
      </c>
      <c r="P33" s="22">
        <f t="shared" si="9"/>
        <v>0</v>
      </c>
      <c r="Q33" s="22">
        <f t="shared" si="10"/>
        <v>0</v>
      </c>
      <c r="R33" s="23"/>
    </row>
    <row r="34" spans="1:18" ht="18.75" customHeight="1" x14ac:dyDescent="0.35">
      <c r="A34" s="145" t="s">
        <v>16</v>
      </c>
      <c r="B34" s="145" t="s">
        <v>8</v>
      </c>
      <c r="C34" s="82"/>
      <c r="D34" s="20">
        <f>ROUND(C34/18,2)</f>
        <v>0</v>
      </c>
      <c r="E34" s="20"/>
      <c r="F34" s="21">
        <f>SUM(D34,E35:E36)</f>
        <v>0</v>
      </c>
      <c r="G34" s="81"/>
      <c r="H34" s="20">
        <f>ROUND(G34/18,2)</f>
        <v>0</v>
      </c>
      <c r="I34" s="20"/>
      <c r="J34" s="21">
        <f>SUM(H34,I35:I36)</f>
        <v>0</v>
      </c>
      <c r="K34" s="82"/>
      <c r="L34" s="20">
        <f>ROUND(K34/18,2)</f>
        <v>0</v>
      </c>
      <c r="M34" s="20"/>
      <c r="N34" s="21">
        <f>SUM(L34,M35:M36)</f>
        <v>0</v>
      </c>
      <c r="O34" s="22">
        <f t="shared" si="4"/>
        <v>0</v>
      </c>
      <c r="P34" s="22">
        <f>ROUND(O34/36,2)</f>
        <v>0</v>
      </c>
      <c r="Q34" s="22"/>
      <c r="R34" s="23">
        <f>SUM(P34,Q35:Q36)</f>
        <v>0</v>
      </c>
    </row>
    <row r="35" spans="1:18" ht="18.75" customHeight="1" x14ac:dyDescent="0.35">
      <c r="A35" s="145"/>
      <c r="B35" s="145" t="s">
        <v>9</v>
      </c>
      <c r="C35" s="82"/>
      <c r="D35" s="20">
        <f>ROUND(C35/12,2)</f>
        <v>0</v>
      </c>
      <c r="E35" s="28">
        <f>D35*1</f>
        <v>0</v>
      </c>
      <c r="F35" s="21"/>
      <c r="G35" s="81"/>
      <c r="H35" s="20">
        <f>ROUND(G35/12,2)</f>
        <v>0</v>
      </c>
      <c r="I35" s="28">
        <f>H35*1</f>
        <v>0</v>
      </c>
      <c r="J35" s="21"/>
      <c r="K35" s="82"/>
      <c r="L35" s="20">
        <f>ROUND(K35/12,2)</f>
        <v>0</v>
      </c>
      <c r="M35" s="28">
        <f>L35*1</f>
        <v>0</v>
      </c>
      <c r="N35" s="21"/>
      <c r="O35" s="22">
        <f t="shared" si="4"/>
        <v>0</v>
      </c>
      <c r="P35" s="22">
        <f t="shared" ref="P35:P36" si="11">ROUND(O35/24,2)</f>
        <v>0</v>
      </c>
      <c r="Q35" s="22">
        <f t="shared" ref="Q35:Q36" si="12">P35*1</f>
        <v>0</v>
      </c>
      <c r="R35" s="23"/>
    </row>
    <row r="36" spans="1:18" ht="18.75" customHeight="1" x14ac:dyDescent="0.35">
      <c r="A36" s="145"/>
      <c r="B36" s="145" t="s">
        <v>10</v>
      </c>
      <c r="C36" s="82"/>
      <c r="D36" s="20">
        <f>ROUND(C36/12,2)</f>
        <v>0</v>
      </c>
      <c r="E36" s="28">
        <f>D36*1</f>
        <v>0</v>
      </c>
      <c r="F36" s="21"/>
      <c r="G36" s="81"/>
      <c r="H36" s="20">
        <f>ROUND(G36/12,2)</f>
        <v>0</v>
      </c>
      <c r="I36" s="28">
        <f>H36*1</f>
        <v>0</v>
      </c>
      <c r="J36" s="21"/>
      <c r="K36" s="82"/>
      <c r="L36" s="20">
        <f>ROUND(K36/12,2)</f>
        <v>0</v>
      </c>
      <c r="M36" s="28">
        <f>L36*1</f>
        <v>0</v>
      </c>
      <c r="N36" s="21"/>
      <c r="O36" s="22">
        <f t="shared" si="4"/>
        <v>0</v>
      </c>
      <c r="P36" s="22">
        <f t="shared" si="11"/>
        <v>0</v>
      </c>
      <c r="Q36" s="22">
        <f t="shared" si="12"/>
        <v>0</v>
      </c>
      <c r="R36" s="23"/>
    </row>
    <row r="37" spans="1:18" ht="18.75" customHeight="1" x14ac:dyDescent="0.35">
      <c r="A37" s="145" t="s">
        <v>17</v>
      </c>
      <c r="B37" s="145" t="s">
        <v>8</v>
      </c>
      <c r="C37" s="82"/>
      <c r="D37" s="20">
        <f>ROUND(C37/18,2)</f>
        <v>0</v>
      </c>
      <c r="E37" s="20"/>
      <c r="F37" s="21">
        <f>SUM(D37,E38:E39)</f>
        <v>0</v>
      </c>
      <c r="G37" s="81"/>
      <c r="H37" s="20">
        <f>ROUND(G37/18,2)</f>
        <v>0</v>
      </c>
      <c r="I37" s="20"/>
      <c r="J37" s="21">
        <f>SUM(H37,I38:I39)</f>
        <v>0</v>
      </c>
      <c r="K37" s="82"/>
      <c r="L37" s="20">
        <f>ROUND(K37/18,2)</f>
        <v>0</v>
      </c>
      <c r="M37" s="20"/>
      <c r="N37" s="21">
        <f>SUM(L37,M38:M39)</f>
        <v>0</v>
      </c>
      <c r="O37" s="22">
        <f t="shared" si="4"/>
        <v>0</v>
      </c>
      <c r="P37" s="22">
        <f>ROUND(O37/36,2)</f>
        <v>0</v>
      </c>
      <c r="Q37" s="22"/>
      <c r="R37" s="23">
        <f>SUM(P37,Q38:Q39)</f>
        <v>0</v>
      </c>
    </row>
    <row r="38" spans="1:18" ht="18.75" customHeight="1" x14ac:dyDescent="0.35">
      <c r="A38" s="145"/>
      <c r="B38" s="145" t="s">
        <v>9</v>
      </c>
      <c r="C38" s="82"/>
      <c r="D38" s="20">
        <f>ROUND(C38/12,2)</f>
        <v>0</v>
      </c>
      <c r="E38" s="28">
        <f>D38*1</f>
        <v>0</v>
      </c>
      <c r="F38" s="21"/>
      <c r="G38" s="81"/>
      <c r="H38" s="20">
        <f>ROUND(G38/12,2)</f>
        <v>0</v>
      </c>
      <c r="I38" s="28">
        <f>H38*1</f>
        <v>0</v>
      </c>
      <c r="J38" s="21"/>
      <c r="K38" s="82"/>
      <c r="L38" s="20">
        <f>ROUND(K38/12,2)</f>
        <v>0</v>
      </c>
      <c r="M38" s="28">
        <f>L38*1</f>
        <v>0</v>
      </c>
      <c r="N38" s="21"/>
      <c r="O38" s="22">
        <f t="shared" si="4"/>
        <v>0</v>
      </c>
      <c r="P38" s="22">
        <f t="shared" ref="P38:P39" si="13">ROUND(O38/24,2)</f>
        <v>0</v>
      </c>
      <c r="Q38" s="22">
        <f t="shared" ref="Q38:Q39" si="14">P38*1</f>
        <v>0</v>
      </c>
      <c r="R38" s="23"/>
    </row>
    <row r="39" spans="1:18" ht="18.75" customHeight="1" x14ac:dyDescent="0.35">
      <c r="A39" s="145"/>
      <c r="B39" s="145" t="s">
        <v>10</v>
      </c>
      <c r="C39" s="82"/>
      <c r="D39" s="20">
        <f>ROUND(C39/12,2)</f>
        <v>0</v>
      </c>
      <c r="E39" s="28">
        <f>D39*1</f>
        <v>0</v>
      </c>
      <c r="F39" s="21"/>
      <c r="G39" s="81"/>
      <c r="H39" s="20">
        <f>ROUND(G39/12,2)</f>
        <v>0</v>
      </c>
      <c r="I39" s="28">
        <f>H39*1</f>
        <v>0</v>
      </c>
      <c r="J39" s="21"/>
      <c r="K39" s="82"/>
      <c r="L39" s="20">
        <f>ROUND(K39/12,2)</f>
        <v>0</v>
      </c>
      <c r="M39" s="28">
        <f>L39*1</f>
        <v>0</v>
      </c>
      <c r="N39" s="21"/>
      <c r="O39" s="22">
        <f t="shared" si="4"/>
        <v>0</v>
      </c>
      <c r="P39" s="22">
        <f t="shared" si="13"/>
        <v>0</v>
      </c>
      <c r="Q39" s="22">
        <f t="shared" si="14"/>
        <v>0</v>
      </c>
      <c r="R39" s="23"/>
    </row>
    <row r="40" spans="1:18" ht="18.75" customHeight="1" x14ac:dyDescent="0.35">
      <c r="A40" s="145" t="s">
        <v>18</v>
      </c>
      <c r="B40" s="145" t="s">
        <v>8</v>
      </c>
      <c r="C40" s="82"/>
      <c r="D40" s="20">
        <f>ROUND(C40/18,2)</f>
        <v>0</v>
      </c>
      <c r="E40" s="20"/>
      <c r="F40" s="21">
        <f>SUM(D40,E41:E42)</f>
        <v>0</v>
      </c>
      <c r="G40" s="81"/>
      <c r="H40" s="20">
        <f>ROUND(G40/18,2)</f>
        <v>0</v>
      </c>
      <c r="I40" s="20"/>
      <c r="J40" s="21">
        <f>SUM(H40,I41:I42)</f>
        <v>0</v>
      </c>
      <c r="K40" s="82"/>
      <c r="L40" s="20">
        <f>ROUND(K40/18,2)</f>
        <v>0</v>
      </c>
      <c r="M40" s="20"/>
      <c r="N40" s="21">
        <f>SUM(L40,M41:M42)</f>
        <v>0</v>
      </c>
      <c r="O40" s="22">
        <f t="shared" si="4"/>
        <v>0</v>
      </c>
      <c r="P40" s="22">
        <f>ROUND(O40/36,2)</f>
        <v>0</v>
      </c>
      <c r="Q40" s="22"/>
      <c r="R40" s="23">
        <f>SUM(P40,Q41:Q42)</f>
        <v>0</v>
      </c>
    </row>
    <row r="41" spans="1:18" ht="18.75" customHeight="1" x14ac:dyDescent="0.35">
      <c r="A41" s="145"/>
      <c r="B41" s="145" t="s">
        <v>9</v>
      </c>
      <c r="C41" s="82"/>
      <c r="D41" s="20">
        <f>ROUND(C41/12,2)</f>
        <v>0</v>
      </c>
      <c r="E41" s="28">
        <f>D41*1</f>
        <v>0</v>
      </c>
      <c r="F41" s="21"/>
      <c r="G41" s="81"/>
      <c r="H41" s="20">
        <f>ROUND(G41/12,2)</f>
        <v>0</v>
      </c>
      <c r="I41" s="28">
        <f>H41*1</f>
        <v>0</v>
      </c>
      <c r="J41" s="21"/>
      <c r="K41" s="82"/>
      <c r="L41" s="20">
        <f>ROUND(K41/12,2)</f>
        <v>0</v>
      </c>
      <c r="M41" s="28">
        <f>L41*1</f>
        <v>0</v>
      </c>
      <c r="N41" s="21"/>
      <c r="O41" s="22">
        <f t="shared" si="4"/>
        <v>0</v>
      </c>
      <c r="P41" s="22">
        <f t="shared" ref="P41:P42" si="15">ROUND(O41/24,2)</f>
        <v>0</v>
      </c>
      <c r="Q41" s="22">
        <f t="shared" ref="Q41:Q42" si="16">P41*1</f>
        <v>0</v>
      </c>
      <c r="R41" s="23"/>
    </row>
    <row r="42" spans="1:18" ht="18.75" customHeight="1" x14ac:dyDescent="0.35">
      <c r="A42" s="145"/>
      <c r="B42" s="145" t="s">
        <v>10</v>
      </c>
      <c r="C42" s="82"/>
      <c r="D42" s="20">
        <f>ROUND(C42/12,2)</f>
        <v>0</v>
      </c>
      <c r="E42" s="28">
        <f>D42*1</f>
        <v>0</v>
      </c>
      <c r="F42" s="21"/>
      <c r="G42" s="81"/>
      <c r="H42" s="20">
        <f>ROUND(G42/12,2)</f>
        <v>0</v>
      </c>
      <c r="I42" s="28">
        <f>H42*1</f>
        <v>0</v>
      </c>
      <c r="J42" s="21"/>
      <c r="K42" s="82"/>
      <c r="L42" s="20">
        <f>ROUND(K42/12,2)</f>
        <v>0</v>
      </c>
      <c r="M42" s="28">
        <f>L42*1</f>
        <v>0</v>
      </c>
      <c r="N42" s="21"/>
      <c r="O42" s="22">
        <f t="shared" si="4"/>
        <v>0</v>
      </c>
      <c r="P42" s="22">
        <f t="shared" si="15"/>
        <v>0</v>
      </c>
      <c r="Q42" s="22">
        <f t="shared" si="16"/>
        <v>0</v>
      </c>
      <c r="R42" s="23"/>
    </row>
    <row r="43" spans="1:18" ht="18.75" customHeight="1" x14ac:dyDescent="0.35">
      <c r="A43" s="145" t="s">
        <v>19</v>
      </c>
      <c r="B43" s="145" t="s">
        <v>8</v>
      </c>
      <c r="C43" s="82"/>
      <c r="D43" s="20">
        <f>ROUND(C43/18,2)</f>
        <v>0</v>
      </c>
      <c r="E43" s="20"/>
      <c r="F43" s="21">
        <f>SUM(D43,E44:E45)</f>
        <v>0</v>
      </c>
      <c r="G43" s="81"/>
      <c r="H43" s="20">
        <f>ROUND(G43/18,2)</f>
        <v>0</v>
      </c>
      <c r="I43" s="20"/>
      <c r="J43" s="21">
        <f>SUM(H43,I44:I45)</f>
        <v>0</v>
      </c>
      <c r="K43" s="82"/>
      <c r="L43" s="20">
        <f>ROUND(K43/18,2)</f>
        <v>0</v>
      </c>
      <c r="M43" s="20"/>
      <c r="N43" s="21">
        <f>SUM(L43,M44:M45)</f>
        <v>0</v>
      </c>
      <c r="O43" s="22">
        <f t="shared" si="4"/>
        <v>0</v>
      </c>
      <c r="P43" s="22">
        <f>ROUND(O43/36,2)</f>
        <v>0</v>
      </c>
      <c r="Q43" s="22"/>
      <c r="R43" s="23">
        <f>SUM(P43,Q44:Q45)</f>
        <v>0</v>
      </c>
    </row>
    <row r="44" spans="1:18" ht="18.75" customHeight="1" x14ac:dyDescent="0.35">
      <c r="A44" s="145"/>
      <c r="B44" s="145" t="s">
        <v>9</v>
      </c>
      <c r="C44" s="82"/>
      <c r="D44" s="20">
        <f>ROUND(C44/12,2)</f>
        <v>0</v>
      </c>
      <c r="E44" s="28">
        <f>D44*1</f>
        <v>0</v>
      </c>
      <c r="F44" s="21"/>
      <c r="G44" s="81"/>
      <c r="H44" s="20">
        <f>ROUND(G44/12,2)</f>
        <v>0</v>
      </c>
      <c r="I44" s="28">
        <f>H44*1</f>
        <v>0</v>
      </c>
      <c r="J44" s="21"/>
      <c r="K44" s="82"/>
      <c r="L44" s="20">
        <f>ROUND(K44/12,2)</f>
        <v>0</v>
      </c>
      <c r="M44" s="28">
        <f>L44*1</f>
        <v>0</v>
      </c>
      <c r="N44" s="21"/>
      <c r="O44" s="22">
        <f t="shared" si="4"/>
        <v>0</v>
      </c>
      <c r="P44" s="22">
        <f t="shared" ref="P44:P45" si="17">ROUND(O44/24,2)</f>
        <v>0</v>
      </c>
      <c r="Q44" s="22">
        <f t="shared" ref="Q44:Q45" si="18">P44*1</f>
        <v>0</v>
      </c>
      <c r="R44" s="23"/>
    </row>
    <row r="45" spans="1:18" ht="18.75" customHeight="1" x14ac:dyDescent="0.35">
      <c r="A45" s="145"/>
      <c r="B45" s="145" t="s">
        <v>10</v>
      </c>
      <c r="C45" s="82"/>
      <c r="D45" s="20">
        <f>ROUND(C45/12,2)</f>
        <v>0</v>
      </c>
      <c r="E45" s="28">
        <f>D45*1</f>
        <v>0</v>
      </c>
      <c r="F45" s="21"/>
      <c r="G45" s="81"/>
      <c r="H45" s="20">
        <f>ROUND(G45/12,2)</f>
        <v>0</v>
      </c>
      <c r="I45" s="28">
        <f>H45*1</f>
        <v>0</v>
      </c>
      <c r="J45" s="21"/>
      <c r="K45" s="82"/>
      <c r="L45" s="20">
        <f>ROUND(K45/12,2)</f>
        <v>0</v>
      </c>
      <c r="M45" s="28">
        <f>L45*1</f>
        <v>0</v>
      </c>
      <c r="N45" s="21"/>
      <c r="O45" s="22">
        <f t="shared" si="4"/>
        <v>0</v>
      </c>
      <c r="P45" s="22">
        <f t="shared" si="17"/>
        <v>0</v>
      </c>
      <c r="Q45" s="22">
        <f t="shared" si="18"/>
        <v>0</v>
      </c>
      <c r="R45" s="23"/>
    </row>
    <row r="46" spans="1:18" ht="18.75" customHeight="1" x14ac:dyDescent="0.35">
      <c r="A46" s="145" t="s">
        <v>20</v>
      </c>
      <c r="B46" s="145" t="s">
        <v>8</v>
      </c>
      <c r="C46" s="82"/>
      <c r="D46" s="20">
        <f>ROUND(C46/18,2)</f>
        <v>0</v>
      </c>
      <c r="E46" s="20"/>
      <c r="F46" s="21">
        <f>SUM(D46,E47:E48)</f>
        <v>0</v>
      </c>
      <c r="G46" s="81"/>
      <c r="H46" s="20">
        <f>ROUND(G46/18,2)</f>
        <v>0</v>
      </c>
      <c r="I46" s="20"/>
      <c r="J46" s="21">
        <f>SUM(H46,I47:I48)</f>
        <v>0</v>
      </c>
      <c r="K46" s="82"/>
      <c r="L46" s="20">
        <f>ROUND(K46/18,2)</f>
        <v>0</v>
      </c>
      <c r="M46" s="20"/>
      <c r="N46" s="21">
        <f>SUM(L46,M47:M48)</f>
        <v>0</v>
      </c>
      <c r="O46" s="22">
        <f t="shared" si="4"/>
        <v>0</v>
      </c>
      <c r="P46" s="22">
        <f>ROUND(O46/36,2)</f>
        <v>0</v>
      </c>
      <c r="Q46" s="22"/>
      <c r="R46" s="23">
        <f>SUM(P46,Q47:Q48)</f>
        <v>0</v>
      </c>
    </row>
    <row r="47" spans="1:18" ht="18.75" customHeight="1" x14ac:dyDescent="0.35">
      <c r="A47" s="145"/>
      <c r="B47" s="145" t="s">
        <v>9</v>
      </c>
      <c r="C47" s="82"/>
      <c r="D47" s="20">
        <f>ROUND(C47/12,2)</f>
        <v>0</v>
      </c>
      <c r="E47" s="28">
        <f>D47*1</f>
        <v>0</v>
      </c>
      <c r="F47" s="21"/>
      <c r="G47" s="81"/>
      <c r="H47" s="20">
        <f>ROUND(G47/12,2)</f>
        <v>0</v>
      </c>
      <c r="I47" s="28">
        <f>H47*1</f>
        <v>0</v>
      </c>
      <c r="J47" s="21"/>
      <c r="K47" s="82"/>
      <c r="L47" s="20">
        <f>ROUND(K47/12,2)</f>
        <v>0</v>
      </c>
      <c r="M47" s="28">
        <f>L47*1</f>
        <v>0</v>
      </c>
      <c r="N47" s="21"/>
      <c r="O47" s="22">
        <f t="shared" si="4"/>
        <v>0</v>
      </c>
      <c r="P47" s="22">
        <f t="shared" ref="P47:P48" si="19">ROUND(O47/24,2)</f>
        <v>0</v>
      </c>
      <c r="Q47" s="22">
        <f t="shared" ref="Q47:Q48" si="20">P47*1</f>
        <v>0</v>
      </c>
      <c r="R47" s="23"/>
    </row>
    <row r="48" spans="1:18" ht="18.75" customHeight="1" x14ac:dyDescent="0.35">
      <c r="A48" s="145"/>
      <c r="B48" s="145" t="s">
        <v>10</v>
      </c>
      <c r="C48" s="82"/>
      <c r="D48" s="20">
        <f>ROUND(C48/12,2)</f>
        <v>0</v>
      </c>
      <c r="E48" s="28">
        <f>D48*1</f>
        <v>0</v>
      </c>
      <c r="F48" s="21"/>
      <c r="G48" s="81"/>
      <c r="H48" s="20">
        <f>ROUND(G48/12,2)</f>
        <v>0</v>
      </c>
      <c r="I48" s="28">
        <f>H48*1</f>
        <v>0</v>
      </c>
      <c r="J48" s="21"/>
      <c r="K48" s="82"/>
      <c r="L48" s="20">
        <f>ROUND(K48/12,2)</f>
        <v>0</v>
      </c>
      <c r="M48" s="28">
        <f>L48*1</f>
        <v>0</v>
      </c>
      <c r="N48" s="21"/>
      <c r="O48" s="22">
        <f t="shared" si="4"/>
        <v>0</v>
      </c>
      <c r="P48" s="22">
        <f t="shared" si="19"/>
        <v>0</v>
      </c>
      <c r="Q48" s="22">
        <f t="shared" si="20"/>
        <v>0</v>
      </c>
      <c r="R48" s="23"/>
    </row>
    <row r="49" spans="1:18" ht="18.75" customHeight="1" x14ac:dyDescent="0.35">
      <c r="A49" s="145" t="s">
        <v>21</v>
      </c>
      <c r="B49" s="145" t="s">
        <v>8</v>
      </c>
      <c r="C49" s="82"/>
      <c r="D49" s="20">
        <f>ROUND(C49/18,2)</f>
        <v>0</v>
      </c>
      <c r="E49" s="20"/>
      <c r="F49" s="21">
        <f>SUM(D49,E50:E51)</f>
        <v>0</v>
      </c>
      <c r="G49" s="81"/>
      <c r="H49" s="20">
        <f>ROUND(G49/18,2)</f>
        <v>0</v>
      </c>
      <c r="I49" s="20"/>
      <c r="J49" s="21">
        <f>SUM(H49,I50:I51)</f>
        <v>0</v>
      </c>
      <c r="K49" s="82"/>
      <c r="L49" s="20">
        <f>ROUND(K49/18,2)</f>
        <v>0</v>
      </c>
      <c r="M49" s="20"/>
      <c r="N49" s="21">
        <f>SUM(L49,M50:M51)</f>
        <v>0</v>
      </c>
      <c r="O49" s="22">
        <f t="shared" si="4"/>
        <v>0</v>
      </c>
      <c r="P49" s="22">
        <f>ROUND(O49/36,2)</f>
        <v>0</v>
      </c>
      <c r="Q49" s="22"/>
      <c r="R49" s="23">
        <f>SUM(P49,Q50:Q51)</f>
        <v>0</v>
      </c>
    </row>
    <row r="50" spans="1:18" ht="18.75" customHeight="1" x14ac:dyDescent="0.35">
      <c r="A50" s="145"/>
      <c r="B50" s="145" t="s">
        <v>9</v>
      </c>
      <c r="C50" s="82"/>
      <c r="D50" s="20">
        <f>ROUND(C50/12,2)</f>
        <v>0</v>
      </c>
      <c r="E50" s="28">
        <f>D50*1</f>
        <v>0</v>
      </c>
      <c r="F50" s="21"/>
      <c r="G50" s="81"/>
      <c r="H50" s="20">
        <f>ROUND(G50/12,2)</f>
        <v>0</v>
      </c>
      <c r="I50" s="28">
        <f>H50*1</f>
        <v>0</v>
      </c>
      <c r="J50" s="21"/>
      <c r="K50" s="82"/>
      <c r="L50" s="20">
        <f>ROUND(K50/12,2)</f>
        <v>0</v>
      </c>
      <c r="M50" s="28">
        <f>L50*1</f>
        <v>0</v>
      </c>
      <c r="N50" s="21"/>
      <c r="O50" s="22">
        <f t="shared" si="4"/>
        <v>0</v>
      </c>
      <c r="P50" s="22">
        <f t="shared" ref="P50:P51" si="21">ROUND(O50/24,2)</f>
        <v>0</v>
      </c>
      <c r="Q50" s="22">
        <f t="shared" ref="Q50:Q51" si="22">P50*1</f>
        <v>0</v>
      </c>
      <c r="R50" s="23"/>
    </row>
    <row r="51" spans="1:18" ht="18.75" customHeight="1" x14ac:dyDescent="0.35">
      <c r="A51" s="145"/>
      <c r="B51" s="145" t="s">
        <v>10</v>
      </c>
      <c r="C51" s="82"/>
      <c r="D51" s="20">
        <f>ROUND(C51/12,2)</f>
        <v>0</v>
      </c>
      <c r="E51" s="28">
        <f>D51*1</f>
        <v>0</v>
      </c>
      <c r="F51" s="21"/>
      <c r="G51" s="81"/>
      <c r="H51" s="20">
        <f>ROUND(G51/12,2)</f>
        <v>0</v>
      </c>
      <c r="I51" s="28">
        <f>H51*1</f>
        <v>0</v>
      </c>
      <c r="J51" s="21"/>
      <c r="K51" s="82"/>
      <c r="L51" s="20">
        <f>ROUND(K51/12,2)</f>
        <v>0</v>
      </c>
      <c r="M51" s="28">
        <f>L51*1</f>
        <v>0</v>
      </c>
      <c r="N51" s="21"/>
      <c r="O51" s="22">
        <f t="shared" si="4"/>
        <v>0</v>
      </c>
      <c r="P51" s="22">
        <f t="shared" si="21"/>
        <v>0</v>
      </c>
      <c r="Q51" s="22">
        <f t="shared" si="22"/>
        <v>0</v>
      </c>
      <c r="R51" s="23"/>
    </row>
    <row r="52" spans="1:18" ht="18.75" customHeight="1" x14ac:dyDescent="0.35">
      <c r="A52" s="173" t="s">
        <v>22</v>
      </c>
      <c r="B52" s="151" t="s">
        <v>8</v>
      </c>
      <c r="C52" s="93">
        <f>SUMIF($B$24:$B$51,"ปริญญาตรี",C24:C51)</f>
        <v>9441.4050000000007</v>
      </c>
      <c r="D52" s="248">
        <f>ROUND(C52/18,2)</f>
        <v>524.52</v>
      </c>
      <c r="E52" s="248"/>
      <c r="F52" s="249">
        <f>SUM(D52,E53:E54)</f>
        <v>524.52</v>
      </c>
      <c r="G52" s="250">
        <f>SUMIF($B$24:$B$51,"ปริญญาตรี",G24:G51)</f>
        <v>1803</v>
      </c>
      <c r="H52" s="248">
        <f>ROUND(G52/18,2)</f>
        <v>100.17</v>
      </c>
      <c r="I52" s="248"/>
      <c r="J52" s="249">
        <f>SUM(H52,I53:I54)</f>
        <v>100.17</v>
      </c>
      <c r="K52" s="250">
        <f>SUMIF($B$24:$B$51,"ปริญญาตรี",K24:K51)</f>
        <v>414</v>
      </c>
      <c r="L52" s="248">
        <f>ROUND(K52/18,2)</f>
        <v>23</v>
      </c>
      <c r="M52" s="248"/>
      <c r="N52" s="249">
        <f>SUM(L52,M53:M54)</f>
        <v>23</v>
      </c>
      <c r="O52" s="253">
        <f t="shared" si="4"/>
        <v>11658.405000000001</v>
      </c>
      <c r="P52" s="254">
        <f>ROUND(O52/36,2)</f>
        <v>323.83999999999997</v>
      </c>
      <c r="Q52" s="254"/>
      <c r="R52" s="255">
        <f>SUM(P52,Q53:Q54)</f>
        <v>323.83999999999997</v>
      </c>
    </row>
    <row r="53" spans="1:18" ht="18.75" customHeight="1" x14ac:dyDescent="0.35">
      <c r="A53" s="174" t="s">
        <v>22</v>
      </c>
      <c r="B53" s="151" t="s">
        <v>9</v>
      </c>
      <c r="C53" s="93">
        <f>SUMIF($B$24:$B$51,"ปริญญาโท",C24:C51)</f>
        <v>0</v>
      </c>
      <c r="D53" s="248">
        <f t="shared" ref="D53:D54" si="23">ROUND(C53/12,2)</f>
        <v>0</v>
      </c>
      <c r="E53" s="248">
        <f t="shared" ref="E53:E54" si="24">D53*1</f>
        <v>0</v>
      </c>
      <c r="F53" s="249"/>
      <c r="G53" s="250">
        <f>SUMIF($B$24:$B$51,"ปริญญาโท",G24:G51)</f>
        <v>0</v>
      </c>
      <c r="H53" s="248">
        <f t="shared" ref="H53:H54" si="25">ROUND(G53/12,2)</f>
        <v>0</v>
      </c>
      <c r="I53" s="248">
        <f t="shared" ref="I53:I54" si="26">H53*1</f>
        <v>0</v>
      </c>
      <c r="J53" s="249"/>
      <c r="K53" s="250">
        <f>SUMIF($B$24:$B$51,"ปริญญาโท",K24:K51)</f>
        <v>0</v>
      </c>
      <c r="L53" s="248">
        <f t="shared" ref="L53:L54" si="27">ROUND(K53/12,2)</f>
        <v>0</v>
      </c>
      <c r="M53" s="248">
        <f t="shared" ref="M53:M54" si="28">L53*1</f>
        <v>0</v>
      </c>
      <c r="N53" s="249"/>
      <c r="O53" s="263">
        <f t="shared" si="4"/>
        <v>0</v>
      </c>
      <c r="P53" s="254">
        <f t="shared" ref="P53:P54" si="29">ROUND(O53/24,2)</f>
        <v>0</v>
      </c>
      <c r="Q53" s="254">
        <f t="shared" ref="Q53:Q54" si="30">P53*1</f>
        <v>0</v>
      </c>
      <c r="R53" s="255"/>
    </row>
    <row r="54" spans="1:18" ht="18.75" customHeight="1" thickBot="1" x14ac:dyDescent="0.4">
      <c r="A54" s="175" t="s">
        <v>22</v>
      </c>
      <c r="B54" s="152" t="s">
        <v>10</v>
      </c>
      <c r="C54" s="94">
        <f>SUMIF($B$24:$B$51,"ปริญญาเอก",C24:C51)</f>
        <v>0</v>
      </c>
      <c r="D54" s="256">
        <f t="shared" si="23"/>
        <v>0</v>
      </c>
      <c r="E54" s="256">
        <f t="shared" si="24"/>
        <v>0</v>
      </c>
      <c r="F54" s="257"/>
      <c r="G54" s="258">
        <f>SUMIF($B$24:$B$51,"ปริญญาเอก",G24:G51)</f>
        <v>0</v>
      </c>
      <c r="H54" s="256">
        <f t="shared" si="25"/>
        <v>0</v>
      </c>
      <c r="I54" s="256">
        <f t="shared" si="26"/>
        <v>0</v>
      </c>
      <c r="J54" s="257"/>
      <c r="K54" s="258">
        <f>SUMIF($B$24:$B$51,"ปริญญาเอก",K24:K51)</f>
        <v>0</v>
      </c>
      <c r="L54" s="256">
        <f t="shared" si="27"/>
        <v>0</v>
      </c>
      <c r="M54" s="256">
        <f t="shared" si="28"/>
        <v>0</v>
      </c>
      <c r="N54" s="257"/>
      <c r="O54" s="264">
        <f t="shared" si="4"/>
        <v>0</v>
      </c>
      <c r="P54" s="260">
        <f t="shared" si="29"/>
        <v>0</v>
      </c>
      <c r="Q54" s="260">
        <f t="shared" si="30"/>
        <v>0</v>
      </c>
      <c r="R54" s="261"/>
    </row>
    <row r="55" spans="1:18" ht="18.75" customHeight="1" x14ac:dyDescent="0.35">
      <c r="A55" s="148" t="s">
        <v>23</v>
      </c>
      <c r="B55" s="149"/>
      <c r="C55" s="80"/>
      <c r="D55" s="28"/>
      <c r="E55" s="28"/>
      <c r="F55" s="29"/>
      <c r="G55" s="79"/>
      <c r="H55" s="28"/>
      <c r="I55" s="28"/>
      <c r="J55" s="29"/>
      <c r="K55" s="80"/>
      <c r="L55" s="28"/>
      <c r="M55" s="28"/>
      <c r="N55" s="29"/>
      <c r="O55" s="66"/>
      <c r="P55" s="30"/>
      <c r="Q55" s="30"/>
      <c r="R55" s="31"/>
    </row>
    <row r="56" spans="1:18" ht="18.75" customHeight="1" x14ac:dyDescent="0.35">
      <c r="A56" s="145" t="s">
        <v>7</v>
      </c>
      <c r="B56" s="145" t="s">
        <v>8</v>
      </c>
      <c r="C56" s="82">
        <v>2918</v>
      </c>
      <c r="D56" s="20">
        <f>ROUND(C56/18,2)</f>
        <v>162.11000000000001</v>
      </c>
      <c r="E56" s="20"/>
      <c r="F56" s="21">
        <f>SUM(D56,E57:E58)</f>
        <v>162.11000000000001</v>
      </c>
      <c r="G56" s="81">
        <v>3816</v>
      </c>
      <c r="H56" s="20">
        <f>ROUND(G56/18,2)</f>
        <v>212</v>
      </c>
      <c r="I56" s="20"/>
      <c r="J56" s="21">
        <f>SUM(H56,I57:I58)</f>
        <v>222</v>
      </c>
      <c r="K56" s="82"/>
      <c r="L56" s="20">
        <f>ROUND(K56/18,2)</f>
        <v>0</v>
      </c>
      <c r="M56" s="20"/>
      <c r="N56" s="21">
        <f>SUM(L56,M57:M58)</f>
        <v>0</v>
      </c>
      <c r="O56" s="22">
        <f t="shared" si="4"/>
        <v>6734</v>
      </c>
      <c r="P56" s="22">
        <f>ROUND(O56/36,2)</f>
        <v>187.06</v>
      </c>
      <c r="Q56" s="22"/>
      <c r="R56" s="23">
        <f>SUM(P56,Q57:Q58)</f>
        <v>192.06</v>
      </c>
    </row>
    <row r="57" spans="1:18" ht="18.75" customHeight="1" x14ac:dyDescent="0.35">
      <c r="A57" s="163"/>
      <c r="B57" s="145" t="s">
        <v>9</v>
      </c>
      <c r="C57" s="82"/>
      <c r="D57" s="20">
        <f>ROUND(C57/12,2)</f>
        <v>0</v>
      </c>
      <c r="E57" s="20">
        <f>D57*2</f>
        <v>0</v>
      </c>
      <c r="F57" s="21"/>
      <c r="G57" s="81">
        <v>60</v>
      </c>
      <c r="H57" s="20">
        <f>ROUND(G57/12,2)</f>
        <v>5</v>
      </c>
      <c r="I57" s="20">
        <f>H57*2</f>
        <v>10</v>
      </c>
      <c r="J57" s="21"/>
      <c r="K57" s="82"/>
      <c r="L57" s="20">
        <f>ROUND(K57/12,2)</f>
        <v>0</v>
      </c>
      <c r="M57" s="20">
        <f>L57*2</f>
        <v>0</v>
      </c>
      <c r="N57" s="21"/>
      <c r="O57" s="22">
        <f t="shared" si="4"/>
        <v>60</v>
      </c>
      <c r="P57" s="22">
        <f t="shared" ref="P57:P58" si="31">ROUND(O57/24,2)</f>
        <v>2.5</v>
      </c>
      <c r="Q57" s="22">
        <f t="shared" ref="Q57:Q58" si="32">P57*2</f>
        <v>5</v>
      </c>
      <c r="R57" s="23"/>
    </row>
    <row r="58" spans="1:18" ht="18.75" customHeight="1" thickBot="1" x14ac:dyDescent="0.4">
      <c r="A58" s="164"/>
      <c r="B58" s="146" t="s">
        <v>10</v>
      </c>
      <c r="C58" s="84"/>
      <c r="D58" s="24">
        <f>ROUND(C58/12,2)</f>
        <v>0</v>
      </c>
      <c r="E58" s="24">
        <f>D58*2</f>
        <v>0</v>
      </c>
      <c r="F58" s="25"/>
      <c r="G58" s="83"/>
      <c r="H58" s="24">
        <f>ROUND(G58/12,2)</f>
        <v>0</v>
      </c>
      <c r="I58" s="24">
        <f>H58*2</f>
        <v>0</v>
      </c>
      <c r="J58" s="25"/>
      <c r="K58" s="84"/>
      <c r="L58" s="24">
        <f>ROUND(K58/12,2)</f>
        <v>0</v>
      </c>
      <c r="M58" s="24">
        <f>L58*2</f>
        <v>0</v>
      </c>
      <c r="N58" s="25"/>
      <c r="O58" s="92">
        <f t="shared" si="4"/>
        <v>0</v>
      </c>
      <c r="P58" s="26">
        <f t="shared" si="31"/>
        <v>0</v>
      </c>
      <c r="Q58" s="26">
        <f t="shared" si="32"/>
        <v>0</v>
      </c>
      <c r="R58" s="27"/>
    </row>
    <row r="59" spans="1:18" ht="18.75" customHeight="1" x14ac:dyDescent="0.35">
      <c r="A59" s="148" t="s">
        <v>24</v>
      </c>
      <c r="B59" s="149"/>
      <c r="C59" s="80"/>
      <c r="D59" s="28"/>
      <c r="E59" s="28"/>
      <c r="F59" s="29"/>
      <c r="G59" s="79"/>
      <c r="H59" s="28"/>
      <c r="I59" s="28"/>
      <c r="J59" s="29"/>
      <c r="K59" s="80"/>
      <c r="L59" s="28"/>
      <c r="M59" s="28"/>
      <c r="N59" s="29"/>
      <c r="O59" s="66"/>
      <c r="P59" s="30"/>
      <c r="Q59" s="30"/>
      <c r="R59" s="31"/>
    </row>
    <row r="60" spans="1:18" ht="18.75" customHeight="1" x14ac:dyDescent="0.35">
      <c r="A60" s="145" t="s">
        <v>7</v>
      </c>
      <c r="B60" s="145" t="s">
        <v>8</v>
      </c>
      <c r="C60" s="82">
        <f>11232+5364+2836.605</f>
        <v>19432.605</v>
      </c>
      <c r="D60" s="20">
        <f>ROUND(C60/18,2)</f>
        <v>1079.5899999999999</v>
      </c>
      <c r="E60" s="20"/>
      <c r="F60" s="21">
        <f>SUM(D60,E61:E62)</f>
        <v>1082.8399999999999</v>
      </c>
      <c r="G60" s="81">
        <v>19875</v>
      </c>
      <c r="H60" s="20">
        <f>ROUND(G60/18,2)</f>
        <v>1104.17</v>
      </c>
      <c r="I60" s="20"/>
      <c r="J60" s="21">
        <f>SUM(H60,I61:I62)</f>
        <v>1106.5900000000001</v>
      </c>
      <c r="K60" s="82">
        <v>1063</v>
      </c>
      <c r="L60" s="20">
        <f>ROUND(K60/18,2)</f>
        <v>59.06</v>
      </c>
      <c r="M60" s="20"/>
      <c r="N60" s="21">
        <f>SUM(L60,M61:M62)</f>
        <v>59.06</v>
      </c>
      <c r="O60" s="22">
        <f t="shared" si="4"/>
        <v>40370.604999999996</v>
      </c>
      <c r="P60" s="22">
        <f>ROUND(O60/36,2)</f>
        <v>1121.4100000000001</v>
      </c>
      <c r="Q60" s="22"/>
      <c r="R60" s="23">
        <f>SUM(P60,Q61:Q62)</f>
        <v>1124.24</v>
      </c>
    </row>
    <row r="61" spans="1:18" ht="18.75" customHeight="1" x14ac:dyDescent="0.35">
      <c r="A61" s="163"/>
      <c r="B61" s="145" t="s">
        <v>9</v>
      </c>
      <c r="C61" s="82">
        <v>31</v>
      </c>
      <c r="D61" s="20">
        <f>ROUND(C61/12,2)</f>
        <v>2.58</v>
      </c>
      <c r="E61" s="20">
        <f>D61*1</f>
        <v>2.58</v>
      </c>
      <c r="F61" s="21"/>
      <c r="G61" s="81">
        <v>12</v>
      </c>
      <c r="H61" s="20">
        <f>ROUND(G61/12,2)</f>
        <v>1</v>
      </c>
      <c r="I61" s="20">
        <f>H61*1</f>
        <v>1</v>
      </c>
      <c r="J61" s="21"/>
      <c r="K61" s="82"/>
      <c r="L61" s="20">
        <f>ROUND(K61/12,2)</f>
        <v>0</v>
      </c>
      <c r="M61" s="20">
        <f>L61*1</f>
        <v>0</v>
      </c>
      <c r="N61" s="21"/>
      <c r="O61" s="22">
        <f t="shared" si="4"/>
        <v>43</v>
      </c>
      <c r="P61" s="22">
        <f t="shared" ref="P61:P62" si="33">ROUND(O61/24,2)</f>
        <v>1.79</v>
      </c>
      <c r="Q61" s="22">
        <f t="shared" ref="Q61:Q62" si="34">P61*1</f>
        <v>1.79</v>
      </c>
      <c r="R61" s="23"/>
    </row>
    <row r="62" spans="1:18" ht="18.75" customHeight="1" thickBot="1" x14ac:dyDescent="0.4">
      <c r="A62" s="164"/>
      <c r="B62" s="146" t="s">
        <v>10</v>
      </c>
      <c r="C62" s="84">
        <f>5+3</f>
        <v>8</v>
      </c>
      <c r="D62" s="24">
        <f>ROUND(C62/12,2)</f>
        <v>0.67</v>
      </c>
      <c r="E62" s="24">
        <f>D62*1</f>
        <v>0.67</v>
      </c>
      <c r="F62" s="25"/>
      <c r="G62" s="83">
        <v>17</v>
      </c>
      <c r="H62" s="24">
        <f>ROUND(G62/12,2)</f>
        <v>1.42</v>
      </c>
      <c r="I62" s="24">
        <f>H62*1</f>
        <v>1.42</v>
      </c>
      <c r="J62" s="25"/>
      <c r="K62" s="84"/>
      <c r="L62" s="24">
        <f>ROUND(K62/12,2)</f>
        <v>0</v>
      </c>
      <c r="M62" s="24">
        <f>L62*1</f>
        <v>0</v>
      </c>
      <c r="N62" s="25"/>
      <c r="O62" s="92">
        <f t="shared" si="4"/>
        <v>25</v>
      </c>
      <c r="P62" s="26">
        <f t="shared" si="33"/>
        <v>1.04</v>
      </c>
      <c r="Q62" s="26">
        <f t="shared" si="34"/>
        <v>1.04</v>
      </c>
      <c r="R62" s="27"/>
    </row>
    <row r="63" spans="1:18" ht="18.75" customHeight="1" x14ac:dyDescent="0.35">
      <c r="A63" s="148" t="s">
        <v>25</v>
      </c>
      <c r="B63" s="149"/>
      <c r="C63" s="80"/>
      <c r="D63" s="28"/>
      <c r="E63" s="28"/>
      <c r="F63" s="29"/>
      <c r="G63" s="79"/>
      <c r="H63" s="28"/>
      <c r="I63" s="28"/>
      <c r="J63" s="29"/>
      <c r="K63" s="80"/>
      <c r="L63" s="28"/>
      <c r="M63" s="28"/>
      <c r="N63" s="29"/>
      <c r="O63" s="30"/>
      <c r="P63" s="30"/>
      <c r="Q63" s="30"/>
      <c r="R63" s="31"/>
    </row>
    <row r="64" spans="1:18" ht="18.75" customHeight="1" x14ac:dyDescent="0.35">
      <c r="A64" s="145" t="s">
        <v>26</v>
      </c>
      <c r="B64" s="145" t="s">
        <v>8</v>
      </c>
      <c r="C64" s="82">
        <v>2343</v>
      </c>
      <c r="D64" s="20">
        <f>ROUND(C64/18,2)</f>
        <v>130.16999999999999</v>
      </c>
      <c r="E64" s="20"/>
      <c r="F64" s="21">
        <f>SUM(D64,E65:E66)</f>
        <v>130.16999999999999</v>
      </c>
      <c r="G64" s="81">
        <v>4614</v>
      </c>
      <c r="H64" s="20">
        <f>ROUND(G64/18,2)</f>
        <v>256.33</v>
      </c>
      <c r="I64" s="20"/>
      <c r="J64" s="21">
        <f>SUM(H64,I65:I66)</f>
        <v>256.33</v>
      </c>
      <c r="K64" s="82"/>
      <c r="L64" s="20">
        <f>ROUND(K64/18,2)</f>
        <v>0</v>
      </c>
      <c r="M64" s="20"/>
      <c r="N64" s="21">
        <f>SUM(L64,M65:M66)</f>
        <v>0</v>
      </c>
      <c r="O64" s="22">
        <f t="shared" si="4"/>
        <v>6957</v>
      </c>
      <c r="P64" s="22">
        <f>ROUND(O64/36,2)</f>
        <v>193.25</v>
      </c>
      <c r="Q64" s="22"/>
      <c r="R64" s="23">
        <f>SUM(P64,Q65:Q66)</f>
        <v>193.25</v>
      </c>
    </row>
    <row r="65" spans="1:18" ht="18.75" customHeight="1" x14ac:dyDescent="0.35">
      <c r="A65" s="145"/>
      <c r="B65" s="145" t="s">
        <v>9</v>
      </c>
      <c r="C65" s="82"/>
      <c r="D65" s="20">
        <f>ROUND(C65/12,2)</f>
        <v>0</v>
      </c>
      <c r="E65" s="20">
        <f>D65*1.8</f>
        <v>0</v>
      </c>
      <c r="F65" s="21"/>
      <c r="G65" s="81"/>
      <c r="H65" s="20">
        <f>ROUND(G65/12,2)</f>
        <v>0</v>
      </c>
      <c r="I65" s="20">
        <f>H65*1.8</f>
        <v>0</v>
      </c>
      <c r="J65" s="21"/>
      <c r="K65" s="82"/>
      <c r="L65" s="20">
        <f>ROUND(K65/12,2)</f>
        <v>0</v>
      </c>
      <c r="M65" s="20">
        <f>L65*1.8</f>
        <v>0</v>
      </c>
      <c r="N65" s="21"/>
      <c r="O65" s="22">
        <f t="shared" si="4"/>
        <v>0</v>
      </c>
      <c r="P65" s="22">
        <f t="shared" ref="P65:P66" si="35">ROUND(O65/24,2)</f>
        <v>0</v>
      </c>
      <c r="Q65" s="22">
        <f t="shared" ref="Q65:Q66" si="36">P65*1.8</f>
        <v>0</v>
      </c>
      <c r="R65" s="23"/>
    </row>
    <row r="66" spans="1:18" ht="18.75" customHeight="1" x14ac:dyDescent="0.35">
      <c r="A66" s="145"/>
      <c r="B66" s="145" t="s">
        <v>10</v>
      </c>
      <c r="C66" s="82"/>
      <c r="D66" s="20">
        <f>ROUND(C66/12,2)</f>
        <v>0</v>
      </c>
      <c r="E66" s="20">
        <f>D66*1.8</f>
        <v>0</v>
      </c>
      <c r="F66" s="21"/>
      <c r="G66" s="81"/>
      <c r="H66" s="20">
        <f>ROUND(G66/12,2)</f>
        <v>0</v>
      </c>
      <c r="I66" s="20">
        <f>H66*1.8</f>
        <v>0</v>
      </c>
      <c r="J66" s="21"/>
      <c r="K66" s="82"/>
      <c r="L66" s="20">
        <f>ROUND(K66/12,2)</f>
        <v>0</v>
      </c>
      <c r="M66" s="20">
        <f>L66*1.8</f>
        <v>0</v>
      </c>
      <c r="N66" s="21"/>
      <c r="O66" s="22">
        <f t="shared" si="4"/>
        <v>0</v>
      </c>
      <c r="P66" s="22">
        <f t="shared" si="35"/>
        <v>0</v>
      </c>
      <c r="Q66" s="22">
        <f t="shared" si="36"/>
        <v>0</v>
      </c>
      <c r="R66" s="23"/>
    </row>
    <row r="67" spans="1:18" ht="18.75" customHeight="1" x14ac:dyDescent="0.35">
      <c r="A67" s="145" t="s">
        <v>27</v>
      </c>
      <c r="B67" s="145" t="s">
        <v>8</v>
      </c>
      <c r="C67" s="82">
        <v>5667</v>
      </c>
      <c r="D67" s="20">
        <f>ROUND(C67/18,2)</f>
        <v>314.83</v>
      </c>
      <c r="E67" s="20"/>
      <c r="F67" s="21">
        <f>SUM(D67,E68:E69)</f>
        <v>314.83</v>
      </c>
      <c r="G67" s="81">
        <v>6866</v>
      </c>
      <c r="H67" s="20">
        <f>ROUND(G67/18,2)</f>
        <v>381.44</v>
      </c>
      <c r="I67" s="20"/>
      <c r="J67" s="21">
        <f>SUM(H67,I68:I69)</f>
        <v>381.44</v>
      </c>
      <c r="K67" s="82"/>
      <c r="L67" s="20">
        <f>ROUND(K67/18,2)</f>
        <v>0</v>
      </c>
      <c r="M67" s="20"/>
      <c r="N67" s="21">
        <f>SUM(L67,M68:M69)</f>
        <v>0</v>
      </c>
      <c r="O67" s="22">
        <f t="shared" si="4"/>
        <v>12533</v>
      </c>
      <c r="P67" s="22">
        <f>ROUND(O67/36,2)</f>
        <v>348.14</v>
      </c>
      <c r="Q67" s="22"/>
      <c r="R67" s="23">
        <f>SUM(P67,Q68:Q69)</f>
        <v>348.14</v>
      </c>
    </row>
    <row r="68" spans="1:18" ht="18.75" customHeight="1" x14ac:dyDescent="0.35">
      <c r="A68" s="145"/>
      <c r="B68" s="145" t="s">
        <v>9</v>
      </c>
      <c r="C68" s="82"/>
      <c r="D68" s="20">
        <f>ROUND(C68/12,2)</f>
        <v>0</v>
      </c>
      <c r="E68" s="20">
        <f>D68*1.8</f>
        <v>0</v>
      </c>
      <c r="F68" s="21"/>
      <c r="G68" s="81"/>
      <c r="H68" s="20">
        <f>ROUND(G68/12,2)</f>
        <v>0</v>
      </c>
      <c r="I68" s="20">
        <f>H68*1.8</f>
        <v>0</v>
      </c>
      <c r="J68" s="21"/>
      <c r="K68" s="82"/>
      <c r="L68" s="20">
        <f>ROUND(K68/12,2)</f>
        <v>0</v>
      </c>
      <c r="M68" s="20">
        <f>L68*1.8</f>
        <v>0</v>
      </c>
      <c r="N68" s="21"/>
      <c r="O68" s="22">
        <f t="shared" si="4"/>
        <v>0</v>
      </c>
      <c r="P68" s="22">
        <f t="shared" ref="P68:P69" si="37">ROUND(O68/24,2)</f>
        <v>0</v>
      </c>
      <c r="Q68" s="22">
        <f t="shared" ref="Q68:Q69" si="38">P68*1.8</f>
        <v>0</v>
      </c>
      <c r="R68" s="23"/>
    </row>
    <row r="69" spans="1:18" ht="18.75" customHeight="1" x14ac:dyDescent="0.35">
      <c r="A69" s="145"/>
      <c r="B69" s="145" t="s">
        <v>10</v>
      </c>
      <c r="C69" s="82"/>
      <c r="D69" s="20">
        <f>ROUND(C69/12,2)</f>
        <v>0</v>
      </c>
      <c r="E69" s="20">
        <f>D69*1.8</f>
        <v>0</v>
      </c>
      <c r="F69" s="21"/>
      <c r="G69" s="81"/>
      <c r="H69" s="20">
        <f>ROUND(G69/12,2)</f>
        <v>0</v>
      </c>
      <c r="I69" s="20">
        <f>H69*1.8</f>
        <v>0</v>
      </c>
      <c r="J69" s="21"/>
      <c r="K69" s="82"/>
      <c r="L69" s="20">
        <f>ROUND(K69/12,2)</f>
        <v>0</v>
      </c>
      <c r="M69" s="20">
        <f>L69*1.8</f>
        <v>0</v>
      </c>
      <c r="N69" s="21"/>
      <c r="O69" s="22">
        <f t="shared" si="4"/>
        <v>0</v>
      </c>
      <c r="P69" s="22">
        <f t="shared" si="37"/>
        <v>0</v>
      </c>
      <c r="Q69" s="22">
        <f t="shared" si="38"/>
        <v>0</v>
      </c>
      <c r="R69" s="23"/>
    </row>
    <row r="70" spans="1:18" ht="18.75" customHeight="1" x14ac:dyDescent="0.35">
      <c r="A70" s="145" t="s">
        <v>28</v>
      </c>
      <c r="B70" s="145" t="s">
        <v>8</v>
      </c>
      <c r="C70" s="82">
        <v>5484</v>
      </c>
      <c r="D70" s="20">
        <f>ROUND(C70/18,2)</f>
        <v>304.67</v>
      </c>
      <c r="E70" s="20"/>
      <c r="F70" s="21">
        <f>SUM(D70,E71:E72)</f>
        <v>304.67</v>
      </c>
      <c r="G70" s="81">
        <v>4961</v>
      </c>
      <c r="H70" s="20">
        <f>ROUND(G70/18,2)</f>
        <v>275.61</v>
      </c>
      <c r="I70" s="20"/>
      <c r="J70" s="21">
        <f>SUM(H70,I71:I72)</f>
        <v>275.61</v>
      </c>
      <c r="K70" s="82">
        <v>120</v>
      </c>
      <c r="L70" s="20">
        <f>ROUND(K70/18,2)</f>
        <v>6.67</v>
      </c>
      <c r="M70" s="20"/>
      <c r="N70" s="21">
        <f>SUM(L70,M71:M72)</f>
        <v>6.67</v>
      </c>
      <c r="O70" s="22">
        <f t="shared" si="4"/>
        <v>10565</v>
      </c>
      <c r="P70" s="22">
        <f>ROUND(O70/36,2)</f>
        <v>293.47000000000003</v>
      </c>
      <c r="Q70" s="22"/>
      <c r="R70" s="23">
        <f>SUM(P70,Q71:Q72)</f>
        <v>293.47000000000003</v>
      </c>
    </row>
    <row r="71" spans="1:18" ht="18.75" customHeight="1" x14ac:dyDescent="0.35">
      <c r="A71" s="145"/>
      <c r="B71" s="145" t="s">
        <v>9</v>
      </c>
      <c r="C71" s="82"/>
      <c r="D71" s="20">
        <f>ROUND(C71/12,2)</f>
        <v>0</v>
      </c>
      <c r="E71" s="20">
        <f>D71*1.8</f>
        <v>0</v>
      </c>
      <c r="F71" s="21"/>
      <c r="G71" s="81"/>
      <c r="H71" s="20">
        <f>ROUND(G71/12,2)</f>
        <v>0</v>
      </c>
      <c r="I71" s="20">
        <f>H71*1.8</f>
        <v>0</v>
      </c>
      <c r="J71" s="21"/>
      <c r="K71" s="82"/>
      <c r="L71" s="20">
        <f>ROUND(K71/12,2)</f>
        <v>0</v>
      </c>
      <c r="M71" s="20">
        <f>L71*1.8</f>
        <v>0</v>
      </c>
      <c r="N71" s="21"/>
      <c r="O71" s="22">
        <f t="shared" si="4"/>
        <v>0</v>
      </c>
      <c r="P71" s="22">
        <f t="shared" ref="P71:P72" si="39">ROUND(O71/24,2)</f>
        <v>0</v>
      </c>
      <c r="Q71" s="22">
        <f t="shared" ref="Q71:Q72" si="40">P71*1.8</f>
        <v>0</v>
      </c>
      <c r="R71" s="23"/>
    </row>
    <row r="72" spans="1:18" ht="18.75" customHeight="1" x14ac:dyDescent="0.35">
      <c r="A72" s="145"/>
      <c r="B72" s="145" t="s">
        <v>10</v>
      </c>
      <c r="C72" s="82"/>
      <c r="D72" s="20">
        <f>ROUND(C72/12,2)</f>
        <v>0</v>
      </c>
      <c r="E72" s="20">
        <f>D72*1.8</f>
        <v>0</v>
      </c>
      <c r="F72" s="21"/>
      <c r="G72" s="81"/>
      <c r="H72" s="20">
        <f>ROUND(G72/12,2)</f>
        <v>0</v>
      </c>
      <c r="I72" s="20">
        <f>H72*1.8</f>
        <v>0</v>
      </c>
      <c r="J72" s="21"/>
      <c r="K72" s="82"/>
      <c r="L72" s="20">
        <f>ROUND(K72/12,2)</f>
        <v>0</v>
      </c>
      <c r="M72" s="20">
        <f>L72*1.8</f>
        <v>0</v>
      </c>
      <c r="N72" s="21"/>
      <c r="O72" s="22">
        <f t="shared" si="4"/>
        <v>0</v>
      </c>
      <c r="P72" s="22">
        <f t="shared" si="39"/>
        <v>0</v>
      </c>
      <c r="Q72" s="22">
        <f t="shared" si="40"/>
        <v>0</v>
      </c>
      <c r="R72" s="23"/>
    </row>
    <row r="73" spans="1:18" ht="18.75" customHeight="1" x14ac:dyDescent="0.35">
      <c r="A73" s="145" t="s">
        <v>29</v>
      </c>
      <c r="B73" s="145" t="s">
        <v>8</v>
      </c>
      <c r="C73" s="82">
        <v>6654</v>
      </c>
      <c r="D73" s="20">
        <f>ROUND(C73/18,2)</f>
        <v>369.67</v>
      </c>
      <c r="E73" s="20"/>
      <c r="F73" s="21">
        <f>SUM(D73,E74:E75)</f>
        <v>369.67</v>
      </c>
      <c r="G73" s="81">
        <v>5979</v>
      </c>
      <c r="H73" s="20">
        <f>ROUND(G73/18,2)</f>
        <v>332.17</v>
      </c>
      <c r="I73" s="20"/>
      <c r="J73" s="21">
        <f>SUM(H73,I74:I75)</f>
        <v>332.17</v>
      </c>
      <c r="K73" s="82">
        <v>21</v>
      </c>
      <c r="L73" s="20">
        <f>ROUND(K73/18,2)</f>
        <v>1.17</v>
      </c>
      <c r="M73" s="20"/>
      <c r="N73" s="21">
        <f>SUM(L73,M74:M75)</f>
        <v>1.17</v>
      </c>
      <c r="O73" s="22">
        <f t="shared" si="4"/>
        <v>12654</v>
      </c>
      <c r="P73" s="22">
        <f>ROUND(O73/36,2)</f>
        <v>351.5</v>
      </c>
      <c r="Q73" s="22"/>
      <c r="R73" s="23">
        <f>SUM(P73,Q74:Q75)</f>
        <v>351.5</v>
      </c>
    </row>
    <row r="74" spans="1:18" ht="18.75" customHeight="1" x14ac:dyDescent="0.35">
      <c r="A74" s="145"/>
      <c r="B74" s="145" t="s">
        <v>9</v>
      </c>
      <c r="C74" s="82"/>
      <c r="D74" s="20">
        <f>ROUND(C74/12,2)</f>
        <v>0</v>
      </c>
      <c r="E74" s="20">
        <f>D74*1.8</f>
        <v>0</v>
      </c>
      <c r="F74" s="21"/>
      <c r="G74" s="81"/>
      <c r="H74" s="20">
        <f>ROUND(G74/12,2)</f>
        <v>0</v>
      </c>
      <c r="I74" s="20">
        <f>H74*1.8</f>
        <v>0</v>
      </c>
      <c r="J74" s="21"/>
      <c r="K74" s="82"/>
      <c r="L74" s="20">
        <f>ROUND(K74/12,2)</f>
        <v>0</v>
      </c>
      <c r="M74" s="20">
        <f>L74*1.8</f>
        <v>0</v>
      </c>
      <c r="N74" s="21"/>
      <c r="O74" s="22">
        <f t="shared" si="4"/>
        <v>0</v>
      </c>
      <c r="P74" s="22">
        <f t="shared" ref="P74:P75" si="41">ROUND(O74/24,2)</f>
        <v>0</v>
      </c>
      <c r="Q74" s="22">
        <f t="shared" ref="Q74:Q75" si="42">P74*1.8</f>
        <v>0</v>
      </c>
      <c r="R74" s="23"/>
    </row>
    <row r="75" spans="1:18" ht="18.75" customHeight="1" x14ac:dyDescent="0.35">
      <c r="A75" s="145"/>
      <c r="B75" s="145" t="s">
        <v>10</v>
      </c>
      <c r="C75" s="82"/>
      <c r="D75" s="20">
        <f>ROUND(C75/12,2)</f>
        <v>0</v>
      </c>
      <c r="E75" s="20">
        <f>D75*1.8</f>
        <v>0</v>
      </c>
      <c r="F75" s="21"/>
      <c r="G75" s="81"/>
      <c r="H75" s="20">
        <f>ROUND(G75/12,2)</f>
        <v>0</v>
      </c>
      <c r="I75" s="20">
        <f>H75*1.8</f>
        <v>0</v>
      </c>
      <c r="J75" s="21"/>
      <c r="K75" s="82"/>
      <c r="L75" s="20">
        <f>ROUND(K75/12,2)</f>
        <v>0</v>
      </c>
      <c r="M75" s="20">
        <f>L75*1.8</f>
        <v>0</v>
      </c>
      <c r="N75" s="21"/>
      <c r="O75" s="22">
        <f t="shared" si="4"/>
        <v>0</v>
      </c>
      <c r="P75" s="22">
        <f t="shared" si="41"/>
        <v>0</v>
      </c>
      <c r="Q75" s="22">
        <f t="shared" si="42"/>
        <v>0</v>
      </c>
      <c r="R75" s="23"/>
    </row>
    <row r="76" spans="1:18" ht="18.75" customHeight="1" x14ac:dyDescent="0.35">
      <c r="A76" s="145" t="s">
        <v>30</v>
      </c>
      <c r="B76" s="145" t="s">
        <v>8</v>
      </c>
      <c r="C76" s="82">
        <v>5857</v>
      </c>
      <c r="D76" s="20">
        <f>ROUND(C76/18,2)</f>
        <v>325.39</v>
      </c>
      <c r="E76" s="20"/>
      <c r="F76" s="21">
        <f>SUM(D76,E77:E78)</f>
        <v>325.39</v>
      </c>
      <c r="G76" s="81">
        <v>5594</v>
      </c>
      <c r="H76" s="20">
        <f>ROUND(G76/18,2)</f>
        <v>310.77999999999997</v>
      </c>
      <c r="I76" s="20"/>
      <c r="J76" s="21">
        <f>SUM(H76,I77:I78)</f>
        <v>310.77999999999997</v>
      </c>
      <c r="K76" s="82"/>
      <c r="L76" s="20">
        <f>ROUND(K76/18,2)</f>
        <v>0</v>
      </c>
      <c r="M76" s="20"/>
      <c r="N76" s="21">
        <f>SUM(L76,M77:M78)</f>
        <v>0</v>
      </c>
      <c r="O76" s="22">
        <f t="shared" si="4"/>
        <v>11451</v>
      </c>
      <c r="P76" s="22">
        <f>ROUND(O76/36,2)</f>
        <v>318.08</v>
      </c>
      <c r="Q76" s="22"/>
      <c r="R76" s="23">
        <f>SUM(P76,Q77:Q78)</f>
        <v>318.08</v>
      </c>
    </row>
    <row r="77" spans="1:18" ht="18.75" customHeight="1" x14ac:dyDescent="0.35">
      <c r="A77" s="145"/>
      <c r="B77" s="145" t="s">
        <v>9</v>
      </c>
      <c r="C77" s="82"/>
      <c r="D77" s="20">
        <f>ROUND(C77/12,2)</f>
        <v>0</v>
      </c>
      <c r="E77" s="20">
        <f>D77*1.8</f>
        <v>0</v>
      </c>
      <c r="F77" s="21"/>
      <c r="G77" s="81"/>
      <c r="H77" s="20">
        <f>ROUND(G77/12,2)</f>
        <v>0</v>
      </c>
      <c r="I77" s="20">
        <f>H77*1.8</f>
        <v>0</v>
      </c>
      <c r="J77" s="21"/>
      <c r="K77" s="82"/>
      <c r="L77" s="20">
        <f>ROUND(K77/12,2)</f>
        <v>0</v>
      </c>
      <c r="M77" s="20">
        <f>L77*1.8</f>
        <v>0</v>
      </c>
      <c r="N77" s="21"/>
      <c r="O77" s="22">
        <f t="shared" si="4"/>
        <v>0</v>
      </c>
      <c r="P77" s="22">
        <f t="shared" ref="P77:P78" si="43">ROUND(O77/24,2)</f>
        <v>0</v>
      </c>
      <c r="Q77" s="22">
        <f t="shared" ref="Q77:Q78" si="44">P77*1.8</f>
        <v>0</v>
      </c>
      <c r="R77" s="23"/>
    </row>
    <row r="78" spans="1:18" ht="18.75" customHeight="1" x14ac:dyDescent="0.35">
      <c r="A78" s="145"/>
      <c r="B78" s="145" t="s">
        <v>10</v>
      </c>
      <c r="C78" s="82"/>
      <c r="D78" s="20">
        <f>ROUND(C78/12,2)</f>
        <v>0</v>
      </c>
      <c r="E78" s="20">
        <f>D78*1.8</f>
        <v>0</v>
      </c>
      <c r="F78" s="21"/>
      <c r="G78" s="81"/>
      <c r="H78" s="20">
        <f>ROUND(G78/12,2)</f>
        <v>0</v>
      </c>
      <c r="I78" s="20">
        <f>H78*1.8</f>
        <v>0</v>
      </c>
      <c r="J78" s="21"/>
      <c r="K78" s="82"/>
      <c r="L78" s="20">
        <f>ROUND(K78/12,2)</f>
        <v>0</v>
      </c>
      <c r="M78" s="20">
        <f>L78*1.8</f>
        <v>0</v>
      </c>
      <c r="N78" s="21"/>
      <c r="O78" s="22">
        <f t="shared" si="4"/>
        <v>0</v>
      </c>
      <c r="P78" s="22">
        <f t="shared" si="43"/>
        <v>0</v>
      </c>
      <c r="Q78" s="22">
        <f t="shared" si="44"/>
        <v>0</v>
      </c>
      <c r="R78" s="23"/>
    </row>
    <row r="79" spans="1:18" ht="18.75" customHeight="1" x14ac:dyDescent="0.35">
      <c r="A79" s="145" t="s">
        <v>31</v>
      </c>
      <c r="B79" s="145" t="s">
        <v>8</v>
      </c>
      <c r="C79" s="82">
        <v>2811</v>
      </c>
      <c r="D79" s="20">
        <f>ROUND(C79/18,2)</f>
        <v>156.16999999999999</v>
      </c>
      <c r="E79" s="20"/>
      <c r="F79" s="21">
        <f>SUM(D79,E80:E81)</f>
        <v>156.16999999999999</v>
      </c>
      <c r="G79" s="81">
        <v>7485</v>
      </c>
      <c r="H79" s="20">
        <f>ROUND(G79/18,2)</f>
        <v>415.83</v>
      </c>
      <c r="I79" s="20"/>
      <c r="J79" s="21">
        <f>SUM(H79,I80:I81)</f>
        <v>415.83</v>
      </c>
      <c r="K79" s="82">
        <v>186</v>
      </c>
      <c r="L79" s="20">
        <f>ROUND(K79/18,2)</f>
        <v>10.33</v>
      </c>
      <c r="M79" s="20"/>
      <c r="N79" s="21">
        <f>SUM(L79,M80:M81)</f>
        <v>10.33</v>
      </c>
      <c r="O79" s="22">
        <f t="shared" si="4"/>
        <v>10482</v>
      </c>
      <c r="P79" s="22">
        <f>ROUND(O79/36,2)</f>
        <v>291.17</v>
      </c>
      <c r="Q79" s="22"/>
      <c r="R79" s="23">
        <f>SUM(P79,Q80:Q81)</f>
        <v>291.17</v>
      </c>
    </row>
    <row r="80" spans="1:18" ht="18.75" customHeight="1" x14ac:dyDescent="0.35">
      <c r="A80" s="145"/>
      <c r="B80" s="145" t="s">
        <v>9</v>
      </c>
      <c r="C80" s="82"/>
      <c r="D80" s="20">
        <f>ROUND(C80/12,2)</f>
        <v>0</v>
      </c>
      <c r="E80" s="20">
        <f>D80*1.8</f>
        <v>0</v>
      </c>
      <c r="F80" s="21"/>
      <c r="G80" s="81"/>
      <c r="H80" s="20">
        <f>ROUND(G80/12,2)</f>
        <v>0</v>
      </c>
      <c r="I80" s="20">
        <f>H80*1.8</f>
        <v>0</v>
      </c>
      <c r="J80" s="21"/>
      <c r="K80" s="82"/>
      <c r="L80" s="20">
        <f>ROUND(K80/12,2)</f>
        <v>0</v>
      </c>
      <c r="M80" s="20">
        <f>L80*1.8</f>
        <v>0</v>
      </c>
      <c r="N80" s="21"/>
      <c r="O80" s="22">
        <f t="shared" si="4"/>
        <v>0</v>
      </c>
      <c r="P80" s="22">
        <f t="shared" ref="P80:P81" si="45">ROUND(O80/24,2)</f>
        <v>0</v>
      </c>
      <c r="Q80" s="22">
        <f t="shared" ref="Q80:Q81" si="46">P80*1.8</f>
        <v>0</v>
      </c>
      <c r="R80" s="23"/>
    </row>
    <row r="81" spans="1:18" ht="18.75" customHeight="1" x14ac:dyDescent="0.35">
      <c r="A81" s="145"/>
      <c r="B81" s="145" t="s">
        <v>10</v>
      </c>
      <c r="C81" s="82"/>
      <c r="D81" s="20">
        <f>ROUND(C81/12,2)</f>
        <v>0</v>
      </c>
      <c r="E81" s="20">
        <f>D81*1.8</f>
        <v>0</v>
      </c>
      <c r="F81" s="21"/>
      <c r="G81" s="81"/>
      <c r="H81" s="20">
        <f>ROUND(G81/12,2)</f>
        <v>0</v>
      </c>
      <c r="I81" s="20">
        <f>H81*1.8</f>
        <v>0</v>
      </c>
      <c r="J81" s="21"/>
      <c r="K81" s="82"/>
      <c r="L81" s="20">
        <f>ROUND(K81/12,2)</f>
        <v>0</v>
      </c>
      <c r="M81" s="20">
        <f>L81*1.8</f>
        <v>0</v>
      </c>
      <c r="N81" s="21"/>
      <c r="O81" s="22">
        <f t="shared" si="4"/>
        <v>0</v>
      </c>
      <c r="P81" s="22">
        <f t="shared" si="45"/>
        <v>0</v>
      </c>
      <c r="Q81" s="22">
        <f t="shared" si="46"/>
        <v>0</v>
      </c>
      <c r="R81" s="23"/>
    </row>
    <row r="82" spans="1:18" ht="18.75" customHeight="1" x14ac:dyDescent="0.35">
      <c r="A82" s="145" t="s">
        <v>32</v>
      </c>
      <c r="B82" s="145" t="s">
        <v>8</v>
      </c>
      <c r="C82" s="20">
        <f>8968.5+123.5</f>
        <v>9092</v>
      </c>
      <c r="D82" s="20">
        <f>ROUND(C82/18,2)</f>
        <v>505.11</v>
      </c>
      <c r="E82" s="20"/>
      <c r="F82" s="21">
        <f>SUM(D82,E83:E84)</f>
        <v>515.46</v>
      </c>
      <c r="G82" s="81"/>
      <c r="H82" s="20">
        <f>ROUND(G82/18,2)</f>
        <v>0</v>
      </c>
      <c r="I82" s="20"/>
      <c r="J82" s="21">
        <f>SUM(H82,I83:I84)</f>
        <v>14.4</v>
      </c>
      <c r="K82" s="82"/>
      <c r="L82" s="20">
        <f>ROUND(K82/18,2)</f>
        <v>0</v>
      </c>
      <c r="M82" s="20"/>
      <c r="N82" s="21">
        <f>SUM(L82,M83:M84)</f>
        <v>0</v>
      </c>
      <c r="O82" s="22">
        <f t="shared" si="4"/>
        <v>9092</v>
      </c>
      <c r="P82" s="22">
        <f>ROUND(O82/36,2)</f>
        <v>252.56</v>
      </c>
      <c r="Q82" s="22"/>
      <c r="R82" s="23">
        <f>SUM(P82,Q83:Q84)</f>
        <v>264.94400000000002</v>
      </c>
    </row>
    <row r="83" spans="1:18" ht="18.75" customHeight="1" x14ac:dyDescent="0.35">
      <c r="A83" s="145"/>
      <c r="B83" s="145" t="s">
        <v>9</v>
      </c>
      <c r="C83" s="82">
        <v>24</v>
      </c>
      <c r="D83" s="20">
        <f>ROUND(C83/12,2)</f>
        <v>2</v>
      </c>
      <c r="E83" s="20">
        <f>D83*1.8</f>
        <v>3.6</v>
      </c>
      <c r="F83" s="21"/>
      <c r="G83" s="81">
        <v>36</v>
      </c>
      <c r="H83" s="20">
        <f>ROUND(G83/12,2)</f>
        <v>3</v>
      </c>
      <c r="I83" s="20">
        <f>H83*1.8</f>
        <v>5.4</v>
      </c>
      <c r="J83" s="21"/>
      <c r="K83" s="82"/>
      <c r="L83" s="20">
        <f>ROUND(K83/12,2)</f>
        <v>0</v>
      </c>
      <c r="M83" s="20">
        <f>L83*1.8</f>
        <v>0</v>
      </c>
      <c r="N83" s="21"/>
      <c r="O83" s="22">
        <f t="shared" si="4"/>
        <v>60</v>
      </c>
      <c r="P83" s="22">
        <f t="shared" ref="P83:P84" si="47">ROUND(O83/24,2)</f>
        <v>2.5</v>
      </c>
      <c r="Q83" s="22">
        <f t="shared" ref="Q83:Q84" si="48">P83*1.8</f>
        <v>4.5</v>
      </c>
      <c r="R83" s="23"/>
    </row>
    <row r="84" spans="1:18" ht="18.75" customHeight="1" x14ac:dyDescent="0.35">
      <c r="A84" s="145"/>
      <c r="B84" s="145" t="s">
        <v>10</v>
      </c>
      <c r="C84" s="82">
        <v>45</v>
      </c>
      <c r="D84" s="20">
        <f>ROUND(C84/12,2)</f>
        <v>3.75</v>
      </c>
      <c r="E84" s="20">
        <f>D84*1.8</f>
        <v>6.75</v>
      </c>
      <c r="F84" s="21"/>
      <c r="G84" s="81">
        <v>60</v>
      </c>
      <c r="H84" s="20">
        <f>ROUND(G84/12,2)</f>
        <v>5</v>
      </c>
      <c r="I84" s="20">
        <f>H84*1.8</f>
        <v>9</v>
      </c>
      <c r="J84" s="21"/>
      <c r="K84" s="82"/>
      <c r="L84" s="20">
        <f>ROUND(K84/12,2)</f>
        <v>0</v>
      </c>
      <c r="M84" s="20">
        <f>L84*1.8</f>
        <v>0</v>
      </c>
      <c r="N84" s="21"/>
      <c r="O84" s="22">
        <f t="shared" si="4"/>
        <v>105</v>
      </c>
      <c r="P84" s="22">
        <f t="shared" si="47"/>
        <v>4.38</v>
      </c>
      <c r="Q84" s="22">
        <f t="shared" si="48"/>
        <v>7.8840000000000003</v>
      </c>
      <c r="R84" s="23"/>
    </row>
    <row r="85" spans="1:18" ht="18.75" customHeight="1" x14ac:dyDescent="0.35">
      <c r="A85" s="277" t="s">
        <v>120</v>
      </c>
      <c r="B85" s="145" t="s">
        <v>8</v>
      </c>
      <c r="C85" s="82">
        <v>654</v>
      </c>
      <c r="D85" s="20">
        <f>ROUND(C85/18,2)</f>
        <v>36.33</v>
      </c>
      <c r="E85" s="20"/>
      <c r="F85" s="21">
        <f>SUM(D85,E86:E87)</f>
        <v>36.33</v>
      </c>
      <c r="G85" s="81"/>
      <c r="H85" s="20">
        <f>ROUND(G85/18,2)</f>
        <v>0</v>
      </c>
      <c r="I85" s="20"/>
      <c r="J85" s="21">
        <f>SUM(H85,I86:I87)</f>
        <v>0</v>
      </c>
      <c r="K85" s="82"/>
      <c r="L85" s="20">
        <f>ROUND(K85/18,2)</f>
        <v>0</v>
      </c>
      <c r="M85" s="20"/>
      <c r="N85" s="21">
        <f>SUM(L85,M86:M87)</f>
        <v>0</v>
      </c>
      <c r="O85" s="22"/>
      <c r="P85" s="22">
        <f>ROUND(O85/36,2)</f>
        <v>0</v>
      </c>
      <c r="Q85" s="22"/>
      <c r="R85" s="23">
        <f>SUM(P85,Q86:Q87)</f>
        <v>0</v>
      </c>
    </row>
    <row r="86" spans="1:18" ht="18.75" customHeight="1" x14ac:dyDescent="0.35">
      <c r="A86" s="145"/>
      <c r="B86" s="145" t="s">
        <v>9</v>
      </c>
      <c r="C86" s="82"/>
      <c r="D86" s="20">
        <f>ROUND(C86/12,2)</f>
        <v>0</v>
      </c>
      <c r="E86" s="20">
        <f>D86*1.8</f>
        <v>0</v>
      </c>
      <c r="F86" s="21"/>
      <c r="G86" s="81"/>
      <c r="H86" s="20">
        <f>ROUND(G86/12,2)</f>
        <v>0</v>
      </c>
      <c r="I86" s="20">
        <f>H86*1.8</f>
        <v>0</v>
      </c>
      <c r="J86" s="21"/>
      <c r="K86" s="82"/>
      <c r="L86" s="20">
        <f>ROUND(K86/12,2)</f>
        <v>0</v>
      </c>
      <c r="M86" s="20">
        <f>L86*1.8</f>
        <v>0</v>
      </c>
      <c r="N86" s="21"/>
      <c r="O86" s="22"/>
      <c r="P86" s="22">
        <f t="shared" ref="P86:P87" si="49">ROUND(O86/24,2)</f>
        <v>0</v>
      </c>
      <c r="Q86" s="22">
        <f t="shared" ref="Q86:Q87" si="50">P86*1.8</f>
        <v>0</v>
      </c>
      <c r="R86" s="23"/>
    </row>
    <row r="87" spans="1:18" ht="18.75" customHeight="1" x14ac:dyDescent="0.35">
      <c r="A87" s="145"/>
      <c r="B87" s="145" t="s">
        <v>10</v>
      </c>
      <c r="C87" s="82"/>
      <c r="D87" s="20">
        <f>ROUND(C87/12,2)</f>
        <v>0</v>
      </c>
      <c r="E87" s="20">
        <f>D87*1.8</f>
        <v>0</v>
      </c>
      <c r="F87" s="21"/>
      <c r="G87" s="81"/>
      <c r="H87" s="20">
        <f>ROUND(G87/12,2)</f>
        <v>0</v>
      </c>
      <c r="I87" s="20">
        <f>H87*1.8</f>
        <v>0</v>
      </c>
      <c r="J87" s="21"/>
      <c r="K87" s="82"/>
      <c r="L87" s="20">
        <f>ROUND(K87/12,2)</f>
        <v>0</v>
      </c>
      <c r="M87" s="20">
        <f>L87*1.8</f>
        <v>0</v>
      </c>
      <c r="N87" s="21"/>
      <c r="O87" s="22"/>
      <c r="P87" s="22">
        <f t="shared" si="49"/>
        <v>0</v>
      </c>
      <c r="Q87" s="22">
        <f t="shared" si="50"/>
        <v>0</v>
      </c>
      <c r="R87" s="23"/>
    </row>
    <row r="88" spans="1:18" ht="18.75" customHeight="1" x14ac:dyDescent="0.35">
      <c r="A88" s="145" t="s">
        <v>33</v>
      </c>
      <c r="B88" s="145" t="s">
        <v>8</v>
      </c>
      <c r="C88" s="82">
        <v>3301</v>
      </c>
      <c r="D88" s="20">
        <f>ROUND(C88/18,2)</f>
        <v>183.39</v>
      </c>
      <c r="E88" s="20"/>
      <c r="F88" s="21">
        <f>SUM(D88,E89:E90)</f>
        <v>183.39</v>
      </c>
      <c r="G88" s="81">
        <v>5181</v>
      </c>
      <c r="H88" s="20">
        <f>ROUND(G88/18,2)</f>
        <v>287.83</v>
      </c>
      <c r="I88" s="20"/>
      <c r="J88" s="21">
        <f>SUM(H88,I89:I90)</f>
        <v>287.83</v>
      </c>
      <c r="K88" s="82"/>
      <c r="L88" s="20">
        <f>ROUND(K88/18,2)</f>
        <v>0</v>
      </c>
      <c r="M88" s="20"/>
      <c r="N88" s="21">
        <f>SUM(L88,M89:M90)</f>
        <v>0</v>
      </c>
      <c r="O88" s="22">
        <f t="shared" si="4"/>
        <v>8482</v>
      </c>
      <c r="P88" s="22">
        <f>ROUND(O88/36,2)</f>
        <v>235.61</v>
      </c>
      <c r="Q88" s="22"/>
      <c r="R88" s="23">
        <f>SUM(P88,Q89:Q90)</f>
        <v>235.61</v>
      </c>
    </row>
    <row r="89" spans="1:18" ht="18.75" customHeight="1" x14ac:dyDescent="0.35">
      <c r="A89" s="145"/>
      <c r="B89" s="145" t="s">
        <v>9</v>
      </c>
      <c r="C89" s="82"/>
      <c r="D89" s="20">
        <f>ROUND(C89/12,2)</f>
        <v>0</v>
      </c>
      <c r="E89" s="20">
        <f>D89*1.8</f>
        <v>0</v>
      </c>
      <c r="F89" s="21"/>
      <c r="G89" s="81"/>
      <c r="H89" s="20">
        <f>ROUND(G89/12,2)</f>
        <v>0</v>
      </c>
      <c r="I89" s="20">
        <f>H89*1.8</f>
        <v>0</v>
      </c>
      <c r="J89" s="21"/>
      <c r="K89" s="82"/>
      <c r="L89" s="20">
        <f>ROUND(K89/12,2)</f>
        <v>0</v>
      </c>
      <c r="M89" s="20">
        <f>L89*1.8</f>
        <v>0</v>
      </c>
      <c r="N89" s="21"/>
      <c r="O89" s="22">
        <f t="shared" si="4"/>
        <v>0</v>
      </c>
      <c r="P89" s="22">
        <f t="shared" ref="P89:P90" si="51">ROUND(O89/24,2)</f>
        <v>0</v>
      </c>
      <c r="Q89" s="22">
        <f t="shared" ref="Q89:Q90" si="52">P89*1.8</f>
        <v>0</v>
      </c>
      <c r="R89" s="23"/>
    </row>
    <row r="90" spans="1:18" ht="18.75" customHeight="1" x14ac:dyDescent="0.35">
      <c r="A90" s="145"/>
      <c r="B90" s="145" t="s">
        <v>10</v>
      </c>
      <c r="C90" s="82"/>
      <c r="D90" s="20">
        <f>ROUND(C90/12,2)</f>
        <v>0</v>
      </c>
      <c r="E90" s="20">
        <f>D90*1.8</f>
        <v>0</v>
      </c>
      <c r="F90" s="21"/>
      <c r="G90" s="81"/>
      <c r="H90" s="20">
        <f>ROUND(G90/12,2)</f>
        <v>0</v>
      </c>
      <c r="I90" s="20">
        <f>H90*1.8</f>
        <v>0</v>
      </c>
      <c r="J90" s="21"/>
      <c r="K90" s="82"/>
      <c r="L90" s="20">
        <f>ROUND(K90/12,2)</f>
        <v>0</v>
      </c>
      <c r="M90" s="20">
        <f>L90*1.8</f>
        <v>0</v>
      </c>
      <c r="N90" s="21"/>
      <c r="O90" s="22">
        <f t="shared" si="4"/>
        <v>0</v>
      </c>
      <c r="P90" s="22">
        <f t="shared" si="51"/>
        <v>0</v>
      </c>
      <c r="Q90" s="22">
        <f t="shared" si="52"/>
        <v>0</v>
      </c>
      <c r="R90" s="23"/>
    </row>
    <row r="91" spans="1:18" ht="18.75" customHeight="1" x14ac:dyDescent="0.35">
      <c r="A91" s="145" t="s">
        <v>34</v>
      </c>
      <c r="B91" s="145" t="s">
        <v>8</v>
      </c>
      <c r="C91" s="82">
        <v>3918</v>
      </c>
      <c r="D91" s="20">
        <f>ROUND(C91/18,2)</f>
        <v>217.67</v>
      </c>
      <c r="E91" s="20"/>
      <c r="F91" s="21">
        <f>SUM(D91,E92:E93)</f>
        <v>217.67</v>
      </c>
      <c r="G91" s="81">
        <v>3995</v>
      </c>
      <c r="H91" s="20">
        <f>ROUND(G91/18,2)</f>
        <v>221.94</v>
      </c>
      <c r="I91" s="20"/>
      <c r="J91" s="21">
        <f>SUM(H91,I92:I93)</f>
        <v>221.94</v>
      </c>
      <c r="K91" s="82"/>
      <c r="L91" s="20">
        <f>ROUND(K91/18,2)</f>
        <v>0</v>
      </c>
      <c r="M91" s="20"/>
      <c r="N91" s="21">
        <f>SUM(L91,M92:M93)</f>
        <v>0</v>
      </c>
      <c r="O91" s="22">
        <f t="shared" si="4"/>
        <v>7913</v>
      </c>
      <c r="P91" s="22">
        <f>ROUND(O91/36,2)</f>
        <v>219.81</v>
      </c>
      <c r="Q91" s="22"/>
      <c r="R91" s="23">
        <f>SUM(P91,Q92:Q93)</f>
        <v>219.81</v>
      </c>
    </row>
    <row r="92" spans="1:18" ht="18.75" customHeight="1" x14ac:dyDescent="0.35">
      <c r="A92" s="145"/>
      <c r="B92" s="145" t="s">
        <v>9</v>
      </c>
      <c r="C92" s="82"/>
      <c r="D92" s="20">
        <f>ROUND(C92/12,2)</f>
        <v>0</v>
      </c>
      <c r="E92" s="20">
        <f>D92*1.8</f>
        <v>0</v>
      </c>
      <c r="F92" s="21"/>
      <c r="G92" s="81"/>
      <c r="H92" s="20">
        <f>ROUND(G92/12,2)</f>
        <v>0</v>
      </c>
      <c r="I92" s="20">
        <f>H92*1.8</f>
        <v>0</v>
      </c>
      <c r="J92" s="21"/>
      <c r="K92" s="82"/>
      <c r="L92" s="20">
        <f>ROUND(K92/12,2)</f>
        <v>0</v>
      </c>
      <c r="M92" s="20">
        <f>L92*1.8</f>
        <v>0</v>
      </c>
      <c r="N92" s="21"/>
      <c r="O92" s="22">
        <f t="shared" ref="O92:O158" si="53">SUMIF($C$3:$N$3,"SCH",C92:N92)</f>
        <v>0</v>
      </c>
      <c r="P92" s="22">
        <f t="shared" ref="P92:P93" si="54">ROUND(O92/24,2)</f>
        <v>0</v>
      </c>
      <c r="Q92" s="22">
        <f t="shared" ref="Q92:Q93" si="55">P92*1.8</f>
        <v>0</v>
      </c>
      <c r="R92" s="23"/>
    </row>
    <row r="93" spans="1:18" ht="18.75" customHeight="1" x14ac:dyDescent="0.35">
      <c r="A93" s="145"/>
      <c r="B93" s="145" t="s">
        <v>10</v>
      </c>
      <c r="C93" s="82"/>
      <c r="D93" s="20">
        <f>ROUND(C93/12,2)</f>
        <v>0</v>
      </c>
      <c r="E93" s="20">
        <f>D93*1.8</f>
        <v>0</v>
      </c>
      <c r="F93" s="21"/>
      <c r="G93" s="81"/>
      <c r="H93" s="20">
        <f>ROUND(G93/12,2)</f>
        <v>0</v>
      </c>
      <c r="I93" s="20">
        <f>H93*1.8</f>
        <v>0</v>
      </c>
      <c r="J93" s="21"/>
      <c r="K93" s="82"/>
      <c r="L93" s="20">
        <f>ROUND(K93/12,2)</f>
        <v>0</v>
      </c>
      <c r="M93" s="20">
        <f>L93*1.8</f>
        <v>0</v>
      </c>
      <c r="N93" s="21"/>
      <c r="O93" s="22">
        <f t="shared" si="53"/>
        <v>0</v>
      </c>
      <c r="P93" s="22">
        <f t="shared" si="54"/>
        <v>0</v>
      </c>
      <c r="Q93" s="22">
        <f t="shared" si="55"/>
        <v>0</v>
      </c>
      <c r="R93" s="23"/>
    </row>
    <row r="94" spans="1:18" ht="18.75" customHeight="1" x14ac:dyDescent="0.35">
      <c r="A94" s="145" t="s">
        <v>35</v>
      </c>
      <c r="B94" s="145" t="s">
        <v>8</v>
      </c>
      <c r="C94" s="82">
        <v>3087</v>
      </c>
      <c r="D94" s="20">
        <f>ROUND(C94/18,2)</f>
        <v>171.5</v>
      </c>
      <c r="E94" s="20"/>
      <c r="F94" s="21">
        <f>SUM(D94,E95:E96)</f>
        <v>171.5</v>
      </c>
      <c r="G94" s="81">
        <v>5302</v>
      </c>
      <c r="H94" s="20">
        <f>ROUND(G94/18,2)</f>
        <v>294.56</v>
      </c>
      <c r="I94" s="20"/>
      <c r="J94" s="21">
        <f>SUM(H94,I95:I96)</f>
        <v>294.56</v>
      </c>
      <c r="K94" s="82"/>
      <c r="L94" s="20">
        <f>ROUND(K94/18,2)</f>
        <v>0</v>
      </c>
      <c r="M94" s="20"/>
      <c r="N94" s="21">
        <f>SUM(L94,M95:M96)</f>
        <v>0</v>
      </c>
      <c r="O94" s="22">
        <f t="shared" si="53"/>
        <v>8389</v>
      </c>
      <c r="P94" s="22">
        <f>ROUND(O94/36,2)</f>
        <v>233.03</v>
      </c>
      <c r="Q94" s="22"/>
      <c r="R94" s="23">
        <f>SUM(P94,Q95:Q96)</f>
        <v>233.03</v>
      </c>
    </row>
    <row r="95" spans="1:18" ht="18.75" customHeight="1" x14ac:dyDescent="0.35">
      <c r="A95" s="145"/>
      <c r="B95" s="145" t="s">
        <v>9</v>
      </c>
      <c r="C95" s="82"/>
      <c r="D95" s="20">
        <f>ROUND(C95/12,2)</f>
        <v>0</v>
      </c>
      <c r="E95" s="20">
        <f>D95*1.8</f>
        <v>0</v>
      </c>
      <c r="F95" s="21"/>
      <c r="G95" s="81"/>
      <c r="H95" s="20">
        <f>ROUND(G95/12,2)</f>
        <v>0</v>
      </c>
      <c r="I95" s="20">
        <f>H95*1.8</f>
        <v>0</v>
      </c>
      <c r="J95" s="21"/>
      <c r="K95" s="82"/>
      <c r="L95" s="20">
        <f>ROUND(K95/12,2)</f>
        <v>0</v>
      </c>
      <c r="M95" s="20">
        <f>L95*1.8</f>
        <v>0</v>
      </c>
      <c r="N95" s="21"/>
      <c r="O95" s="22">
        <f t="shared" si="53"/>
        <v>0</v>
      </c>
      <c r="P95" s="22">
        <f t="shared" ref="P95:P96" si="56">ROUND(O95/24,2)</f>
        <v>0</v>
      </c>
      <c r="Q95" s="22">
        <f t="shared" ref="Q95:Q96" si="57">P95*1.8</f>
        <v>0</v>
      </c>
      <c r="R95" s="23"/>
    </row>
    <row r="96" spans="1:18" ht="18.75" customHeight="1" x14ac:dyDescent="0.35">
      <c r="A96" s="145"/>
      <c r="B96" s="145" t="s">
        <v>10</v>
      </c>
      <c r="C96" s="82"/>
      <c r="D96" s="20">
        <f>ROUND(C96/12,2)</f>
        <v>0</v>
      </c>
      <c r="E96" s="20">
        <f>D96*1.8</f>
        <v>0</v>
      </c>
      <c r="F96" s="21"/>
      <c r="G96" s="81"/>
      <c r="H96" s="20">
        <f>ROUND(G96/12,2)</f>
        <v>0</v>
      </c>
      <c r="I96" s="20">
        <f>H96*1.8</f>
        <v>0</v>
      </c>
      <c r="J96" s="21"/>
      <c r="K96" s="82"/>
      <c r="L96" s="20">
        <f>ROUND(K96/12,2)</f>
        <v>0</v>
      </c>
      <c r="M96" s="20">
        <f>L96*1.8</f>
        <v>0</v>
      </c>
      <c r="N96" s="21"/>
      <c r="O96" s="22">
        <f t="shared" si="53"/>
        <v>0</v>
      </c>
      <c r="P96" s="22">
        <f t="shared" si="56"/>
        <v>0</v>
      </c>
      <c r="Q96" s="22">
        <f t="shared" si="57"/>
        <v>0</v>
      </c>
      <c r="R96" s="23"/>
    </row>
    <row r="97" spans="1:18" ht="18.75" customHeight="1" x14ac:dyDescent="0.35">
      <c r="A97" s="145" t="s">
        <v>36</v>
      </c>
      <c r="B97" s="145" t="s">
        <v>8</v>
      </c>
      <c r="C97" s="82">
        <v>4170</v>
      </c>
      <c r="D97" s="20">
        <f>ROUND(C97/18,2)</f>
        <v>231.67</v>
      </c>
      <c r="E97" s="20"/>
      <c r="F97" s="21">
        <f>SUM(D97,E98:E99)</f>
        <v>231.67</v>
      </c>
      <c r="G97" s="81">
        <v>3826</v>
      </c>
      <c r="H97" s="20">
        <f>ROUND(G97/18,2)</f>
        <v>212.56</v>
      </c>
      <c r="I97" s="20"/>
      <c r="J97" s="21">
        <f>SUM(H97,I98:I99)</f>
        <v>212.56</v>
      </c>
      <c r="K97" s="82"/>
      <c r="L97" s="20">
        <f>ROUND(K97/18,2)</f>
        <v>0</v>
      </c>
      <c r="M97" s="20"/>
      <c r="N97" s="21">
        <f>SUM(L97,M98:M99)</f>
        <v>0</v>
      </c>
      <c r="O97" s="22">
        <f t="shared" si="53"/>
        <v>7996</v>
      </c>
      <c r="P97" s="22">
        <f>ROUND(O97/36,2)</f>
        <v>222.11</v>
      </c>
      <c r="Q97" s="22"/>
      <c r="R97" s="23">
        <f>SUM(P97,Q98:Q99)</f>
        <v>222.11</v>
      </c>
    </row>
    <row r="98" spans="1:18" ht="18.75" customHeight="1" x14ac:dyDescent="0.35">
      <c r="A98" s="145"/>
      <c r="B98" s="145" t="s">
        <v>9</v>
      </c>
      <c r="C98" s="82"/>
      <c r="D98" s="20">
        <f>ROUND(C98/12,2)</f>
        <v>0</v>
      </c>
      <c r="E98" s="20">
        <f>D98*1.8</f>
        <v>0</v>
      </c>
      <c r="F98" s="21"/>
      <c r="G98" s="81"/>
      <c r="H98" s="20">
        <f>ROUND(G98/12,2)</f>
        <v>0</v>
      </c>
      <c r="I98" s="20">
        <f>H98*1.8</f>
        <v>0</v>
      </c>
      <c r="J98" s="21"/>
      <c r="K98" s="82"/>
      <c r="L98" s="20">
        <f>ROUND(K98/12,2)</f>
        <v>0</v>
      </c>
      <c r="M98" s="20">
        <f>L98*1.8</f>
        <v>0</v>
      </c>
      <c r="N98" s="21"/>
      <c r="O98" s="22">
        <f t="shared" si="53"/>
        <v>0</v>
      </c>
      <c r="P98" s="22">
        <f t="shared" ref="P98:P99" si="58">ROUND(O98/24,2)</f>
        <v>0</v>
      </c>
      <c r="Q98" s="22">
        <f t="shared" ref="Q98:Q99" si="59">P98*1.8</f>
        <v>0</v>
      </c>
      <c r="R98" s="23"/>
    </row>
    <row r="99" spans="1:18" ht="18.75" customHeight="1" x14ac:dyDescent="0.35">
      <c r="A99" s="145"/>
      <c r="B99" s="145" t="s">
        <v>10</v>
      </c>
      <c r="C99" s="82"/>
      <c r="D99" s="20">
        <f>ROUND(C99/12,2)</f>
        <v>0</v>
      </c>
      <c r="E99" s="20">
        <f>D99*1.8</f>
        <v>0</v>
      </c>
      <c r="F99" s="21"/>
      <c r="G99" s="81"/>
      <c r="H99" s="20">
        <f>ROUND(G99/12,2)</f>
        <v>0</v>
      </c>
      <c r="I99" s="20">
        <f>H99*1.8</f>
        <v>0</v>
      </c>
      <c r="J99" s="21"/>
      <c r="K99" s="82"/>
      <c r="L99" s="20">
        <f>ROUND(K99/12,2)</f>
        <v>0</v>
      </c>
      <c r="M99" s="20">
        <f>L99*1.8</f>
        <v>0</v>
      </c>
      <c r="N99" s="21"/>
      <c r="O99" s="22">
        <f t="shared" si="53"/>
        <v>0</v>
      </c>
      <c r="P99" s="22">
        <f t="shared" si="58"/>
        <v>0</v>
      </c>
      <c r="Q99" s="22">
        <f t="shared" si="59"/>
        <v>0</v>
      </c>
      <c r="R99" s="23"/>
    </row>
    <row r="100" spans="1:18" ht="18.75" customHeight="1" x14ac:dyDescent="0.35">
      <c r="A100" s="173" t="s">
        <v>22</v>
      </c>
      <c r="B100" s="151" t="s">
        <v>8</v>
      </c>
      <c r="C100" s="138">
        <f>SUMIF($B$63:$B$99,"ปริญญาตรี",C63:C99)</f>
        <v>53038</v>
      </c>
      <c r="D100" s="248">
        <f>ROUND(C100/18,2)</f>
        <v>2946.56</v>
      </c>
      <c r="E100" s="248"/>
      <c r="F100" s="249">
        <f>SUM(D100,E101:E102)</f>
        <v>2956.91</v>
      </c>
      <c r="G100" s="266">
        <f>SUMIF($B$63:$B$99,"ปริญญาตรี",G63:G99)</f>
        <v>53803</v>
      </c>
      <c r="H100" s="248">
        <f>ROUND(G100/18,2)</f>
        <v>2989.06</v>
      </c>
      <c r="I100" s="248"/>
      <c r="J100" s="249">
        <f>SUM(H100,I101:I102)</f>
        <v>3003.46</v>
      </c>
      <c r="K100" s="266">
        <f>SUMIF($B$63:$B$99,"ปริญญาตรี",K63:K99)</f>
        <v>327</v>
      </c>
      <c r="L100" s="248">
        <f>ROUND(K100/18,2)</f>
        <v>18.170000000000002</v>
      </c>
      <c r="M100" s="248"/>
      <c r="N100" s="249">
        <f>SUM(L100,M101:M102)</f>
        <v>18.170000000000002</v>
      </c>
      <c r="O100" s="253">
        <f t="shared" si="53"/>
        <v>107168</v>
      </c>
      <c r="P100" s="254">
        <f>ROUND(O100/36,2)</f>
        <v>2976.89</v>
      </c>
      <c r="Q100" s="254"/>
      <c r="R100" s="255">
        <f>SUM(P100,Q101:Q102)</f>
        <v>2989.2739999999999</v>
      </c>
    </row>
    <row r="101" spans="1:18" ht="18.75" customHeight="1" x14ac:dyDescent="0.35">
      <c r="A101" s="174" t="s">
        <v>22</v>
      </c>
      <c r="B101" s="151" t="s">
        <v>9</v>
      </c>
      <c r="C101" s="138">
        <f>SUMIF($B$63:$B$99,"ปริญญาโท",C63:C99)</f>
        <v>24</v>
      </c>
      <c r="D101" s="248">
        <f>ROUND(C101/12,2)</f>
        <v>2</v>
      </c>
      <c r="E101" s="248">
        <f>D101*1.8</f>
        <v>3.6</v>
      </c>
      <c r="F101" s="249"/>
      <c r="G101" s="266">
        <f>SUMIF($B$63:$B$99,"ปริญญาโท",G63:G99)</f>
        <v>36</v>
      </c>
      <c r="H101" s="248">
        <f>ROUND(G101/12,2)</f>
        <v>3</v>
      </c>
      <c r="I101" s="248">
        <f>H101*1.8</f>
        <v>5.4</v>
      </c>
      <c r="J101" s="249"/>
      <c r="K101" s="266">
        <f>SUMIF($B$63:$B$99,"ปริญญาโท",K63:K99)</f>
        <v>0</v>
      </c>
      <c r="L101" s="248">
        <f>ROUND(K101/12,2)</f>
        <v>0</v>
      </c>
      <c r="M101" s="248">
        <f>L101*1.8</f>
        <v>0</v>
      </c>
      <c r="N101" s="249"/>
      <c r="O101" s="253">
        <f t="shared" si="53"/>
        <v>60</v>
      </c>
      <c r="P101" s="254">
        <f t="shared" ref="P101:P102" si="60">ROUND(O101/24,2)</f>
        <v>2.5</v>
      </c>
      <c r="Q101" s="254">
        <f t="shared" ref="Q101:Q102" si="61">P101*1.8</f>
        <v>4.5</v>
      </c>
      <c r="R101" s="255"/>
    </row>
    <row r="102" spans="1:18" ht="18.75" customHeight="1" thickBot="1" x14ac:dyDescent="0.4">
      <c r="A102" s="175" t="s">
        <v>22</v>
      </c>
      <c r="B102" s="152" t="s">
        <v>10</v>
      </c>
      <c r="C102" s="139">
        <f>SUMIF($B$63:$B$99,"ปริญญาเอก",C63:C99)</f>
        <v>45</v>
      </c>
      <c r="D102" s="256">
        <f>ROUND(C102/12,2)</f>
        <v>3.75</v>
      </c>
      <c r="E102" s="256">
        <f>D102*1.8</f>
        <v>6.75</v>
      </c>
      <c r="F102" s="257"/>
      <c r="G102" s="267">
        <f>SUMIF($B$63:$B$99,"ปริญญาเอก",G63:G99)</f>
        <v>60</v>
      </c>
      <c r="H102" s="256">
        <f>ROUND(G102/12,2)</f>
        <v>5</v>
      </c>
      <c r="I102" s="256">
        <f>H102*1.8</f>
        <v>9</v>
      </c>
      <c r="J102" s="257"/>
      <c r="K102" s="267">
        <f>SUMIF($B$63:$B$99,"ปริญญาเอก",K63:K99)</f>
        <v>0</v>
      </c>
      <c r="L102" s="256">
        <f>ROUND(K102/12,2)</f>
        <v>0</v>
      </c>
      <c r="M102" s="256">
        <f>L102*1.8</f>
        <v>0</v>
      </c>
      <c r="N102" s="257"/>
      <c r="O102" s="259">
        <f t="shared" si="53"/>
        <v>105</v>
      </c>
      <c r="P102" s="260">
        <f t="shared" si="60"/>
        <v>4.38</v>
      </c>
      <c r="Q102" s="260">
        <f t="shared" si="61"/>
        <v>7.8840000000000003</v>
      </c>
      <c r="R102" s="261"/>
    </row>
    <row r="103" spans="1:18" ht="18.75" customHeight="1" x14ac:dyDescent="0.35">
      <c r="A103" s="148" t="s">
        <v>37</v>
      </c>
      <c r="B103" s="149"/>
      <c r="C103" s="80"/>
      <c r="D103" s="28"/>
      <c r="E103" s="28"/>
      <c r="F103" s="29"/>
      <c r="G103" s="79"/>
      <c r="H103" s="28"/>
      <c r="I103" s="28"/>
      <c r="J103" s="29"/>
      <c r="K103" s="80"/>
      <c r="L103" s="28"/>
      <c r="M103" s="28"/>
      <c r="N103" s="29"/>
      <c r="O103" s="30"/>
      <c r="P103" s="30"/>
      <c r="Q103" s="30"/>
      <c r="R103" s="31"/>
    </row>
    <row r="104" spans="1:18" ht="18.75" customHeight="1" x14ac:dyDescent="0.35">
      <c r="A104" s="145" t="s">
        <v>38</v>
      </c>
      <c r="B104" s="145" t="s">
        <v>8</v>
      </c>
      <c r="C104" s="82">
        <v>8318</v>
      </c>
      <c r="D104" s="20">
        <f>ROUND(C104/18,2)</f>
        <v>462.11</v>
      </c>
      <c r="E104" s="20"/>
      <c r="F104" s="21">
        <f>SUM(D104,E105:E106)</f>
        <v>462.11</v>
      </c>
      <c r="G104" s="81">
        <v>6208</v>
      </c>
      <c r="H104" s="20">
        <f>ROUND(G104/18,2)</f>
        <v>344.89</v>
      </c>
      <c r="I104" s="20"/>
      <c r="J104" s="21">
        <f>SUM(H104,I105:I106)</f>
        <v>344.89</v>
      </c>
      <c r="K104" s="82"/>
      <c r="L104" s="20">
        <f>ROUND(K104/18,2)</f>
        <v>0</v>
      </c>
      <c r="M104" s="20"/>
      <c r="N104" s="21">
        <f>SUM(L104,M105:M106)</f>
        <v>0</v>
      </c>
      <c r="O104" s="22">
        <f t="shared" si="53"/>
        <v>14526</v>
      </c>
      <c r="P104" s="22">
        <f>ROUND(O104/36,2)</f>
        <v>403.5</v>
      </c>
      <c r="Q104" s="22"/>
      <c r="R104" s="23">
        <f>SUM(P104,Q105:Q106)</f>
        <v>403.5</v>
      </c>
    </row>
    <row r="105" spans="1:18" ht="18.75" customHeight="1" x14ac:dyDescent="0.35">
      <c r="A105" s="145"/>
      <c r="B105" s="145" t="s">
        <v>9</v>
      </c>
      <c r="C105" s="82"/>
      <c r="D105" s="20">
        <f>ROUND(C105/12,2)</f>
        <v>0</v>
      </c>
      <c r="E105" s="20">
        <f>D105*1.8</f>
        <v>0</v>
      </c>
      <c r="F105" s="21"/>
      <c r="G105" s="81"/>
      <c r="H105" s="20">
        <f>ROUND(G105/12,2)</f>
        <v>0</v>
      </c>
      <c r="I105" s="20">
        <f>H105*1.8</f>
        <v>0</v>
      </c>
      <c r="J105" s="21"/>
      <c r="K105" s="82"/>
      <c r="L105" s="20">
        <f>ROUND(K105/12,2)</f>
        <v>0</v>
      </c>
      <c r="M105" s="20">
        <f>L105*1.8</f>
        <v>0</v>
      </c>
      <c r="N105" s="21"/>
      <c r="O105" s="22">
        <f t="shared" si="53"/>
        <v>0</v>
      </c>
      <c r="P105" s="22">
        <f t="shared" ref="P105:P106" si="62">ROUND(O105/24,2)</f>
        <v>0</v>
      </c>
      <c r="Q105" s="22">
        <f t="shared" ref="Q105:Q106" si="63">P105*1.8</f>
        <v>0</v>
      </c>
      <c r="R105" s="23"/>
    </row>
    <row r="106" spans="1:18" ht="18.75" customHeight="1" x14ac:dyDescent="0.35">
      <c r="A106" s="145"/>
      <c r="B106" s="145" t="s">
        <v>10</v>
      </c>
      <c r="C106" s="82"/>
      <c r="D106" s="20">
        <f>ROUND(C106/12,2)</f>
        <v>0</v>
      </c>
      <c r="E106" s="20">
        <f>D106*1.8</f>
        <v>0</v>
      </c>
      <c r="F106" s="21"/>
      <c r="G106" s="81"/>
      <c r="H106" s="20">
        <f>ROUND(G106/12,2)</f>
        <v>0</v>
      </c>
      <c r="I106" s="20">
        <f>H106*1.8</f>
        <v>0</v>
      </c>
      <c r="J106" s="21"/>
      <c r="K106" s="82"/>
      <c r="L106" s="20">
        <f>ROUND(K106/12,2)</f>
        <v>0</v>
      </c>
      <c r="M106" s="20">
        <f>L106*1.8</f>
        <v>0</v>
      </c>
      <c r="N106" s="21"/>
      <c r="O106" s="22">
        <f t="shared" si="53"/>
        <v>0</v>
      </c>
      <c r="P106" s="22">
        <f t="shared" si="62"/>
        <v>0</v>
      </c>
      <c r="Q106" s="22">
        <f t="shared" si="63"/>
        <v>0</v>
      </c>
      <c r="R106" s="23"/>
    </row>
    <row r="107" spans="1:18" ht="18.75" customHeight="1" x14ac:dyDescent="0.35">
      <c r="A107" s="145" t="s">
        <v>39</v>
      </c>
      <c r="B107" s="145" t="s">
        <v>8</v>
      </c>
      <c r="C107" s="82">
        <f>947+5583+2049.15</f>
        <v>8579.15</v>
      </c>
      <c r="D107" s="20">
        <f>ROUND(C107/18,2)</f>
        <v>476.62</v>
      </c>
      <c r="E107" s="20"/>
      <c r="F107" s="21">
        <f>SUM(D107,E108:E109)</f>
        <v>522.07000000000005</v>
      </c>
      <c r="G107" s="81">
        <v>4158</v>
      </c>
      <c r="H107" s="20">
        <f>ROUND(G107/18,2)</f>
        <v>231</v>
      </c>
      <c r="I107" s="20"/>
      <c r="J107" s="21">
        <f>SUM(H107,I108:I109)</f>
        <v>268.8</v>
      </c>
      <c r="K107" s="82"/>
      <c r="L107" s="20">
        <f>ROUND(K107/18,2)</f>
        <v>0</v>
      </c>
      <c r="M107" s="20"/>
      <c r="N107" s="21">
        <f>SUM(L107,M108:M109)</f>
        <v>0</v>
      </c>
      <c r="O107" s="22">
        <f t="shared" si="53"/>
        <v>12737.15</v>
      </c>
      <c r="P107" s="22">
        <f>ROUND(O107/36,2)</f>
        <v>353.81</v>
      </c>
      <c r="Q107" s="22"/>
      <c r="R107" s="23">
        <f>SUM(P107,Q108:Q109)</f>
        <v>395.44400000000002</v>
      </c>
    </row>
    <row r="108" spans="1:18" ht="18.75" customHeight="1" x14ac:dyDescent="0.35">
      <c r="A108" s="145"/>
      <c r="B108" s="145" t="s">
        <v>9</v>
      </c>
      <c r="C108" s="82">
        <v>303</v>
      </c>
      <c r="D108" s="20">
        <f>ROUND(C108/12,2)</f>
        <v>25.25</v>
      </c>
      <c r="E108" s="20">
        <f>D108*1.8</f>
        <v>45.45</v>
      </c>
      <c r="F108" s="21"/>
      <c r="G108" s="81">
        <v>252</v>
      </c>
      <c r="H108" s="20">
        <f>ROUND(G108/12,2)</f>
        <v>21</v>
      </c>
      <c r="I108" s="20">
        <f>H108*1.8</f>
        <v>37.800000000000004</v>
      </c>
      <c r="J108" s="21"/>
      <c r="K108" s="82"/>
      <c r="L108" s="20">
        <f>ROUND(K108/12,2)</f>
        <v>0</v>
      </c>
      <c r="M108" s="20">
        <f>L108*1.8</f>
        <v>0</v>
      </c>
      <c r="N108" s="21"/>
      <c r="O108" s="22">
        <f t="shared" si="53"/>
        <v>555</v>
      </c>
      <c r="P108" s="22">
        <f t="shared" ref="P108:P109" si="64">ROUND(O108/24,2)</f>
        <v>23.13</v>
      </c>
      <c r="Q108" s="22">
        <f t="shared" ref="Q108:Q109" si="65">P108*1.8</f>
        <v>41.634</v>
      </c>
      <c r="R108" s="23"/>
    </row>
    <row r="109" spans="1:18" ht="18.75" customHeight="1" x14ac:dyDescent="0.35">
      <c r="A109" s="145"/>
      <c r="B109" s="145" t="s">
        <v>10</v>
      </c>
      <c r="C109" s="82"/>
      <c r="D109" s="20">
        <f>ROUND(C109/12,2)</f>
        <v>0</v>
      </c>
      <c r="E109" s="20">
        <f>D109*1.8</f>
        <v>0</v>
      </c>
      <c r="F109" s="21"/>
      <c r="G109" s="81"/>
      <c r="H109" s="20">
        <f>ROUND(G109/12,2)</f>
        <v>0</v>
      </c>
      <c r="I109" s="20">
        <f>H109*1.8</f>
        <v>0</v>
      </c>
      <c r="J109" s="21"/>
      <c r="K109" s="82"/>
      <c r="L109" s="20">
        <f>ROUND(K109/12,2)</f>
        <v>0</v>
      </c>
      <c r="M109" s="20">
        <f>L109*1.8</f>
        <v>0</v>
      </c>
      <c r="N109" s="21"/>
      <c r="O109" s="22">
        <f t="shared" si="53"/>
        <v>0</v>
      </c>
      <c r="P109" s="22">
        <f t="shared" si="64"/>
        <v>0</v>
      </c>
      <c r="Q109" s="22">
        <f t="shared" si="65"/>
        <v>0</v>
      </c>
      <c r="R109" s="23"/>
    </row>
    <row r="110" spans="1:18" ht="18.75" customHeight="1" x14ac:dyDescent="0.35">
      <c r="A110" s="145" t="s">
        <v>40</v>
      </c>
      <c r="B110" s="145" t="s">
        <v>8</v>
      </c>
      <c r="C110" s="82">
        <v>8368</v>
      </c>
      <c r="D110" s="20">
        <f>ROUND(C110/18,2)</f>
        <v>464.89</v>
      </c>
      <c r="E110" s="20"/>
      <c r="F110" s="21">
        <f>SUM(D110,E111:E112)</f>
        <v>464.89</v>
      </c>
      <c r="G110" s="81">
        <v>6632</v>
      </c>
      <c r="H110" s="20">
        <f>ROUND(G110/18,2)</f>
        <v>368.44</v>
      </c>
      <c r="I110" s="20"/>
      <c r="J110" s="21">
        <f>SUM(H110,I111:I112)</f>
        <v>368.44</v>
      </c>
      <c r="K110" s="82"/>
      <c r="L110" s="20">
        <f>ROUND(K110/18,2)</f>
        <v>0</v>
      </c>
      <c r="M110" s="20"/>
      <c r="N110" s="21">
        <f>SUM(L110,M111:M112)</f>
        <v>0</v>
      </c>
      <c r="O110" s="22">
        <f t="shared" si="53"/>
        <v>15000</v>
      </c>
      <c r="P110" s="22">
        <f>ROUND(O110/36,2)</f>
        <v>416.67</v>
      </c>
      <c r="Q110" s="22"/>
      <c r="R110" s="23">
        <f>SUM(P110,Q111:Q112)</f>
        <v>416.67</v>
      </c>
    </row>
    <row r="111" spans="1:18" ht="18.75" customHeight="1" x14ac:dyDescent="0.35">
      <c r="A111" s="145"/>
      <c r="B111" s="145" t="s">
        <v>9</v>
      </c>
      <c r="C111" s="82"/>
      <c r="D111" s="20">
        <f>ROUND(C111/12,2)</f>
        <v>0</v>
      </c>
      <c r="E111" s="20">
        <f>D111*1.8</f>
        <v>0</v>
      </c>
      <c r="F111" s="21"/>
      <c r="G111" s="81"/>
      <c r="H111" s="20">
        <f>ROUND(G111/12,2)</f>
        <v>0</v>
      </c>
      <c r="I111" s="20">
        <f>H111*1.8</f>
        <v>0</v>
      </c>
      <c r="J111" s="21"/>
      <c r="K111" s="82"/>
      <c r="L111" s="20">
        <f>ROUND(K111/12,2)</f>
        <v>0</v>
      </c>
      <c r="M111" s="20">
        <f>L111*1.8</f>
        <v>0</v>
      </c>
      <c r="N111" s="21"/>
      <c r="O111" s="22">
        <f t="shared" si="53"/>
        <v>0</v>
      </c>
      <c r="P111" s="22">
        <f>ROUND(O111/24,2)</f>
        <v>0</v>
      </c>
      <c r="Q111" s="22">
        <f t="shared" ref="Q111:Q112" si="66">P111*1.8</f>
        <v>0</v>
      </c>
      <c r="R111" s="23"/>
    </row>
    <row r="112" spans="1:18" ht="18.75" customHeight="1" x14ac:dyDescent="0.35">
      <c r="A112" s="145"/>
      <c r="B112" s="145" t="s">
        <v>10</v>
      </c>
      <c r="C112" s="82"/>
      <c r="D112" s="20">
        <f>ROUND(C112/12,2)</f>
        <v>0</v>
      </c>
      <c r="E112" s="20">
        <f>D112*1.8</f>
        <v>0</v>
      </c>
      <c r="F112" s="21"/>
      <c r="G112" s="81"/>
      <c r="H112" s="20">
        <f>ROUND(G112/12,2)</f>
        <v>0</v>
      </c>
      <c r="I112" s="20">
        <f>H112*1.8</f>
        <v>0</v>
      </c>
      <c r="J112" s="21"/>
      <c r="K112" s="82"/>
      <c r="L112" s="20">
        <f>ROUND(K112/12,2)</f>
        <v>0</v>
      </c>
      <c r="M112" s="20">
        <f>L112*1.8</f>
        <v>0</v>
      </c>
      <c r="N112" s="21"/>
      <c r="O112" s="22">
        <f t="shared" si="53"/>
        <v>0</v>
      </c>
      <c r="P112" s="22">
        <f t="shared" ref="P112" si="67">ROUND(O112/24,2)</f>
        <v>0</v>
      </c>
      <c r="Q112" s="22">
        <f t="shared" si="66"/>
        <v>0</v>
      </c>
      <c r="R112" s="23"/>
    </row>
    <row r="113" spans="1:18" ht="18.75" customHeight="1" x14ac:dyDescent="0.35">
      <c r="A113" s="173" t="s">
        <v>22</v>
      </c>
      <c r="B113" s="151" t="s">
        <v>8</v>
      </c>
      <c r="C113" s="93">
        <f>SUMIF($B$103:$B$112,"ปริญญาตรี",C103:C112)</f>
        <v>25265.15</v>
      </c>
      <c r="D113" s="248">
        <f>ROUND(C113/18,2)</f>
        <v>1403.62</v>
      </c>
      <c r="E113" s="248"/>
      <c r="F113" s="249">
        <f>SUM(D113,E114:E115)</f>
        <v>1449.07</v>
      </c>
      <c r="G113" s="250">
        <f>SUMIF($B$103:$B$112,"ปริญญาตรี",G103:G112)</f>
        <v>16998</v>
      </c>
      <c r="H113" s="248">
        <f>ROUND(G113/18,2)</f>
        <v>944.33</v>
      </c>
      <c r="I113" s="248"/>
      <c r="J113" s="249">
        <f>SUM(H113,I114:I115)</f>
        <v>982.13</v>
      </c>
      <c r="K113" s="262">
        <f>SUM(K104,K107,K110)</f>
        <v>0</v>
      </c>
      <c r="L113" s="248">
        <f>ROUND(K113/18,2)</f>
        <v>0</v>
      </c>
      <c r="M113" s="248"/>
      <c r="N113" s="249">
        <f>SUM(L113,M114:M115)</f>
        <v>0</v>
      </c>
      <c r="O113" s="253">
        <f t="shared" si="53"/>
        <v>42263.15</v>
      </c>
      <c r="P113" s="254">
        <f>ROUND(O113/36,2)</f>
        <v>1173.98</v>
      </c>
      <c r="Q113" s="254"/>
      <c r="R113" s="255">
        <f>SUM(P113,Q114:Q115)</f>
        <v>1215.614</v>
      </c>
    </row>
    <row r="114" spans="1:18" ht="18.75" customHeight="1" x14ac:dyDescent="0.35">
      <c r="A114" s="174" t="s">
        <v>22</v>
      </c>
      <c r="B114" s="151" t="s">
        <v>9</v>
      </c>
      <c r="C114" s="93">
        <f>SUMIF($B$103:$B$112,"ปริญญาโท",C103:C112)</f>
        <v>303</v>
      </c>
      <c r="D114" s="248">
        <f>ROUND(C114/12,2)</f>
        <v>25.25</v>
      </c>
      <c r="E114" s="248">
        <f>D114*1.8</f>
        <v>45.45</v>
      </c>
      <c r="F114" s="249"/>
      <c r="G114" s="250">
        <f>SUMIF($B$103:$B$112,"ปริญญาโท",G103:G112)</f>
        <v>252</v>
      </c>
      <c r="H114" s="248">
        <f>ROUND(G114/12,2)</f>
        <v>21</v>
      </c>
      <c r="I114" s="248">
        <f>H114*1.8</f>
        <v>37.800000000000004</v>
      </c>
      <c r="J114" s="249"/>
      <c r="K114" s="262">
        <f>SUM(K105,K108,K111)</f>
        <v>0</v>
      </c>
      <c r="L114" s="248">
        <f>ROUND(K114/12,2)</f>
        <v>0</v>
      </c>
      <c r="M114" s="248">
        <f>L114*1.8</f>
        <v>0</v>
      </c>
      <c r="N114" s="249"/>
      <c r="O114" s="253">
        <f t="shared" si="53"/>
        <v>555</v>
      </c>
      <c r="P114" s="254">
        <f t="shared" ref="P114:P115" si="68">ROUND(O114/24,2)</f>
        <v>23.13</v>
      </c>
      <c r="Q114" s="254">
        <f t="shared" ref="Q114:Q115" si="69">P114*1.8</f>
        <v>41.634</v>
      </c>
      <c r="R114" s="255"/>
    </row>
    <row r="115" spans="1:18" ht="18.75" customHeight="1" thickBot="1" x14ac:dyDescent="0.4">
      <c r="A115" s="175" t="s">
        <v>22</v>
      </c>
      <c r="B115" s="152" t="s">
        <v>10</v>
      </c>
      <c r="C115" s="94">
        <f>SUMIF($B$103:$B$112,"ปริญญาเอก",C103:C112)</f>
        <v>0</v>
      </c>
      <c r="D115" s="256">
        <f>ROUND(C115/12,2)</f>
        <v>0</v>
      </c>
      <c r="E115" s="256">
        <f>D115*1.8</f>
        <v>0</v>
      </c>
      <c r="F115" s="257"/>
      <c r="G115" s="258">
        <f>SUMIF($B$103:$B$112,"ปริญญาเอก",G103:G112)</f>
        <v>0</v>
      </c>
      <c r="H115" s="256">
        <f>ROUND(G115/12,2)</f>
        <v>0</v>
      </c>
      <c r="I115" s="256">
        <f>H115*1.8</f>
        <v>0</v>
      </c>
      <c r="J115" s="257"/>
      <c r="K115" s="265">
        <f>SUM(K106,K109,K112)</f>
        <v>0</v>
      </c>
      <c r="L115" s="256">
        <f>ROUND(K115/12,2)</f>
        <v>0</v>
      </c>
      <c r="M115" s="256">
        <f>L115*1.8</f>
        <v>0</v>
      </c>
      <c r="N115" s="257"/>
      <c r="O115" s="259">
        <f t="shared" si="53"/>
        <v>0</v>
      </c>
      <c r="P115" s="260">
        <f t="shared" si="68"/>
        <v>0</v>
      </c>
      <c r="Q115" s="260">
        <f t="shared" si="69"/>
        <v>0</v>
      </c>
      <c r="R115" s="261"/>
    </row>
    <row r="116" spans="1:18" ht="18.75" customHeight="1" x14ac:dyDescent="0.35">
      <c r="A116" s="148" t="s">
        <v>41</v>
      </c>
      <c r="B116" s="149"/>
      <c r="C116" s="80"/>
      <c r="D116" s="28"/>
      <c r="E116" s="28"/>
      <c r="F116" s="29"/>
      <c r="G116" s="79"/>
      <c r="H116" s="28"/>
      <c r="I116" s="28"/>
      <c r="J116" s="29"/>
      <c r="K116" s="80"/>
      <c r="L116" s="28"/>
      <c r="M116" s="28"/>
      <c r="N116" s="29"/>
      <c r="O116" s="66"/>
      <c r="P116" s="30"/>
      <c r="Q116" s="30"/>
      <c r="R116" s="31"/>
    </row>
    <row r="117" spans="1:18" ht="18.75" customHeight="1" x14ac:dyDescent="0.35">
      <c r="A117" s="145" t="s">
        <v>7</v>
      </c>
      <c r="B117" s="145" t="s">
        <v>8</v>
      </c>
      <c r="C117" s="82">
        <f>7330+13587</f>
        <v>20917</v>
      </c>
      <c r="D117" s="20">
        <f>ROUND(C117/18,2)</f>
        <v>1162.06</v>
      </c>
      <c r="E117" s="20"/>
      <c r="F117" s="21">
        <f>SUM(D117,E118:E119)</f>
        <v>1176.06</v>
      </c>
      <c r="G117" s="81">
        <v>17909</v>
      </c>
      <c r="H117" s="20">
        <f>ROUND(G117/18,2)</f>
        <v>994.94</v>
      </c>
      <c r="I117" s="20"/>
      <c r="J117" s="21">
        <f>SUM(H117,I118:I119)</f>
        <v>1006.1</v>
      </c>
      <c r="K117" s="140">
        <v>716</v>
      </c>
      <c r="L117" s="20">
        <f>ROUND(K117/18,2)</f>
        <v>39.78</v>
      </c>
      <c r="M117" s="20"/>
      <c r="N117" s="21">
        <f>SUM(L117,M118:M119)</f>
        <v>40.28</v>
      </c>
      <c r="O117" s="22">
        <f t="shared" si="53"/>
        <v>39542</v>
      </c>
      <c r="P117" s="22">
        <f>ROUND(O117/36,2)</f>
        <v>1098.3900000000001</v>
      </c>
      <c r="Q117" s="22"/>
      <c r="R117" s="23">
        <f>SUM(P117,Q118:Q119)</f>
        <v>1111.23</v>
      </c>
    </row>
    <row r="118" spans="1:18" ht="18.75" customHeight="1" x14ac:dyDescent="0.35">
      <c r="A118" s="176"/>
      <c r="B118" s="145" t="s">
        <v>9</v>
      </c>
      <c r="C118" s="82">
        <v>27</v>
      </c>
      <c r="D118" s="20">
        <f>ROUND(C118/12,2)</f>
        <v>2.25</v>
      </c>
      <c r="E118" s="20">
        <f>D118*2</f>
        <v>4.5</v>
      </c>
      <c r="F118" s="21"/>
      <c r="G118" s="81">
        <v>33</v>
      </c>
      <c r="H118" s="20">
        <f>ROUND(G118/12,2)</f>
        <v>2.75</v>
      </c>
      <c r="I118" s="20">
        <f>H118*2</f>
        <v>5.5</v>
      </c>
      <c r="J118" s="21"/>
      <c r="K118" s="82">
        <v>3</v>
      </c>
      <c r="L118" s="20">
        <f>ROUND(K118/12,2)</f>
        <v>0.25</v>
      </c>
      <c r="M118" s="20">
        <f>L118*2</f>
        <v>0.5</v>
      </c>
      <c r="N118" s="21"/>
      <c r="O118" s="22">
        <f t="shared" si="53"/>
        <v>63</v>
      </c>
      <c r="P118" s="22">
        <f t="shared" ref="P118:P119" si="70">ROUND(O118/24,2)</f>
        <v>2.63</v>
      </c>
      <c r="Q118" s="22">
        <f t="shared" ref="Q118:Q119" si="71">P118*2</f>
        <v>5.26</v>
      </c>
      <c r="R118" s="23"/>
    </row>
    <row r="119" spans="1:18" ht="18.75" customHeight="1" thickBot="1" x14ac:dyDescent="0.4">
      <c r="A119" s="164"/>
      <c r="B119" s="146" t="s">
        <v>10</v>
      </c>
      <c r="C119" s="84">
        <f>54+3</f>
        <v>57</v>
      </c>
      <c r="D119" s="24">
        <f>ROUND(C119/12,2)</f>
        <v>4.75</v>
      </c>
      <c r="E119" s="24">
        <f>D119*2</f>
        <v>9.5</v>
      </c>
      <c r="F119" s="25"/>
      <c r="G119" s="83">
        <v>34</v>
      </c>
      <c r="H119" s="24">
        <f>ROUND(G119/12,2)</f>
        <v>2.83</v>
      </c>
      <c r="I119" s="24">
        <f>H119*2</f>
        <v>5.66</v>
      </c>
      <c r="J119" s="25"/>
      <c r="K119" s="84"/>
      <c r="L119" s="24">
        <f>ROUND(K119/12,2)</f>
        <v>0</v>
      </c>
      <c r="M119" s="24">
        <f>L119*2</f>
        <v>0</v>
      </c>
      <c r="N119" s="25"/>
      <c r="O119" s="92">
        <f t="shared" si="53"/>
        <v>91</v>
      </c>
      <c r="P119" s="26">
        <f t="shared" si="70"/>
        <v>3.79</v>
      </c>
      <c r="Q119" s="26">
        <f t="shared" si="71"/>
        <v>7.58</v>
      </c>
      <c r="R119" s="27"/>
    </row>
    <row r="120" spans="1:18" ht="18.75" customHeight="1" x14ac:dyDescent="0.35">
      <c r="A120" s="148" t="s">
        <v>42</v>
      </c>
      <c r="B120" s="149"/>
      <c r="C120" s="80"/>
      <c r="D120" s="28"/>
      <c r="E120" s="28"/>
      <c r="F120" s="29"/>
      <c r="G120" s="79"/>
      <c r="H120" s="28"/>
      <c r="I120" s="28"/>
      <c r="J120" s="29"/>
      <c r="K120" s="80"/>
      <c r="L120" s="28"/>
      <c r="M120" s="28"/>
      <c r="N120" s="29"/>
      <c r="O120" s="66"/>
      <c r="P120" s="30"/>
      <c r="Q120" s="30"/>
      <c r="R120" s="31"/>
    </row>
    <row r="121" spans="1:18" ht="18.75" customHeight="1" x14ac:dyDescent="0.35">
      <c r="A121" s="145" t="s">
        <v>7</v>
      </c>
      <c r="B121" s="145" t="s">
        <v>8</v>
      </c>
      <c r="C121" s="82">
        <f>13549+3690+760</f>
        <v>17999</v>
      </c>
      <c r="D121" s="20">
        <f>ROUND(C121/18,2)</f>
        <v>999.94</v>
      </c>
      <c r="E121" s="20"/>
      <c r="F121" s="21">
        <f>SUM(D121,E122:E123)</f>
        <v>1029.94</v>
      </c>
      <c r="G121" s="81">
        <v>18705</v>
      </c>
      <c r="H121" s="20">
        <f>ROUND(G121/18,2)</f>
        <v>1039.17</v>
      </c>
      <c r="I121" s="20"/>
      <c r="J121" s="21">
        <f>SUM(H121,I122:I123)</f>
        <v>1076.3300000000002</v>
      </c>
      <c r="K121" s="82">
        <v>240</v>
      </c>
      <c r="L121" s="20">
        <f>ROUND(K121/18,2)</f>
        <v>13.33</v>
      </c>
      <c r="M121" s="20"/>
      <c r="N121" s="21">
        <f>SUM(L121,M122:M123)</f>
        <v>13.33</v>
      </c>
      <c r="O121" s="22">
        <f t="shared" si="53"/>
        <v>36944</v>
      </c>
      <c r="P121" s="22">
        <f>ROUND(O121/36,2)</f>
        <v>1026.22</v>
      </c>
      <c r="Q121" s="22"/>
      <c r="R121" s="23">
        <f>SUM(P121,Q122:Q123)</f>
        <v>1059.82</v>
      </c>
    </row>
    <row r="122" spans="1:18" ht="18.75" customHeight="1" x14ac:dyDescent="0.35">
      <c r="A122" s="176"/>
      <c r="B122" s="145" t="s">
        <v>9</v>
      </c>
      <c r="C122" s="82">
        <f>144+9</f>
        <v>153</v>
      </c>
      <c r="D122" s="20">
        <f>ROUND(C122/12,2)</f>
        <v>12.75</v>
      </c>
      <c r="E122" s="20">
        <f>D122*2</f>
        <v>25.5</v>
      </c>
      <c r="F122" s="21"/>
      <c r="G122" s="81">
        <v>186</v>
      </c>
      <c r="H122" s="20">
        <f>ROUND(G122/12,2)</f>
        <v>15.5</v>
      </c>
      <c r="I122" s="20">
        <f>H122*2</f>
        <v>31</v>
      </c>
      <c r="J122" s="21"/>
      <c r="K122" s="82"/>
      <c r="L122" s="20">
        <f>ROUND(K122/12,2)</f>
        <v>0</v>
      </c>
      <c r="M122" s="20">
        <f>L122*2</f>
        <v>0</v>
      </c>
      <c r="N122" s="21"/>
      <c r="O122" s="22">
        <f t="shared" si="53"/>
        <v>339</v>
      </c>
      <c r="P122" s="22">
        <f t="shared" ref="P122:P123" si="72">ROUND(O122/24,2)</f>
        <v>14.13</v>
      </c>
      <c r="Q122" s="22">
        <f t="shared" ref="Q122:Q123" si="73">P122*2</f>
        <v>28.26</v>
      </c>
      <c r="R122" s="23"/>
    </row>
    <row r="123" spans="1:18" ht="18.75" customHeight="1" thickBot="1" x14ac:dyDescent="0.4">
      <c r="A123" s="164"/>
      <c r="B123" s="146" t="s">
        <v>10</v>
      </c>
      <c r="C123" s="84">
        <v>27</v>
      </c>
      <c r="D123" s="24">
        <f>ROUND(C123/12,2)</f>
        <v>2.25</v>
      </c>
      <c r="E123" s="24">
        <f>D123*2</f>
        <v>4.5</v>
      </c>
      <c r="F123" s="25"/>
      <c r="G123" s="83">
        <v>37</v>
      </c>
      <c r="H123" s="24">
        <f>ROUND(G123/12,2)</f>
        <v>3.08</v>
      </c>
      <c r="I123" s="24">
        <f>H123*2</f>
        <v>6.16</v>
      </c>
      <c r="J123" s="25"/>
      <c r="K123" s="84"/>
      <c r="L123" s="24">
        <f>ROUND(K123/12,2)</f>
        <v>0</v>
      </c>
      <c r="M123" s="24">
        <f>L123*2</f>
        <v>0</v>
      </c>
      <c r="N123" s="25"/>
      <c r="O123" s="92">
        <f t="shared" si="53"/>
        <v>64</v>
      </c>
      <c r="P123" s="26">
        <f t="shared" si="72"/>
        <v>2.67</v>
      </c>
      <c r="Q123" s="26">
        <f t="shared" si="73"/>
        <v>5.34</v>
      </c>
      <c r="R123" s="27"/>
    </row>
    <row r="124" spans="1:18" ht="18.75" customHeight="1" x14ac:dyDescent="0.35">
      <c r="A124" s="148" t="s">
        <v>43</v>
      </c>
      <c r="B124" s="149"/>
      <c r="C124" s="80"/>
      <c r="D124" s="28"/>
      <c r="E124" s="28"/>
      <c r="F124" s="29"/>
      <c r="G124" s="79"/>
      <c r="H124" s="28"/>
      <c r="I124" s="28"/>
      <c r="J124" s="29"/>
      <c r="K124" s="80"/>
      <c r="L124" s="28"/>
      <c r="M124" s="28"/>
      <c r="N124" s="29"/>
      <c r="O124" s="30"/>
      <c r="P124" s="30"/>
      <c r="Q124" s="30"/>
      <c r="R124" s="31"/>
    </row>
    <row r="125" spans="1:18" ht="18.75" customHeight="1" x14ac:dyDescent="0.35">
      <c r="A125" s="145" t="s">
        <v>44</v>
      </c>
      <c r="B125" s="145" t="s">
        <v>8</v>
      </c>
      <c r="C125" s="82">
        <f>12803+144.4</f>
        <v>12947.4</v>
      </c>
      <c r="D125" s="20">
        <f>ROUND(C125/18,2)</f>
        <v>719.3</v>
      </c>
      <c r="E125" s="20"/>
      <c r="F125" s="21">
        <f>SUM(D125,E126:E127)</f>
        <v>719.3</v>
      </c>
      <c r="G125" s="81">
        <v>10745</v>
      </c>
      <c r="H125" s="20">
        <f>ROUND(G125/18,2)</f>
        <v>596.94000000000005</v>
      </c>
      <c r="I125" s="20"/>
      <c r="J125" s="21">
        <f>SUM(H125,I126:I127)</f>
        <v>596.94000000000005</v>
      </c>
      <c r="K125" s="82">
        <v>12</v>
      </c>
      <c r="L125" s="20">
        <f>ROUND(K125/18,2)</f>
        <v>0.67</v>
      </c>
      <c r="M125" s="20"/>
      <c r="N125" s="21">
        <f>SUM(L125,M126:M127)</f>
        <v>0.67</v>
      </c>
      <c r="O125" s="22">
        <f t="shared" si="53"/>
        <v>23704.400000000001</v>
      </c>
      <c r="P125" s="22">
        <f>ROUND(O125/36,2)</f>
        <v>658.46</v>
      </c>
      <c r="Q125" s="22"/>
      <c r="R125" s="23">
        <f>SUM(P125,Q126:Q127)</f>
        <v>658.46</v>
      </c>
    </row>
    <row r="126" spans="1:18" ht="18.75" customHeight="1" x14ac:dyDescent="0.35">
      <c r="A126" s="145"/>
      <c r="B126" s="145" t="s">
        <v>9</v>
      </c>
      <c r="C126" s="82"/>
      <c r="D126" s="20">
        <f>ROUND(C126/12,2)</f>
        <v>0</v>
      </c>
      <c r="E126" s="20">
        <f>D126*2</f>
        <v>0</v>
      </c>
      <c r="F126" s="21"/>
      <c r="G126" s="81"/>
      <c r="H126" s="20">
        <f>ROUND(G126/12,2)</f>
        <v>0</v>
      </c>
      <c r="I126" s="20">
        <f>H126*2</f>
        <v>0</v>
      </c>
      <c r="J126" s="21"/>
      <c r="K126" s="82"/>
      <c r="L126" s="20">
        <f>ROUND(K126/12,2)</f>
        <v>0</v>
      </c>
      <c r="M126" s="20">
        <f>L126*2</f>
        <v>0</v>
      </c>
      <c r="N126" s="21"/>
      <c r="O126" s="22">
        <f t="shared" si="53"/>
        <v>0</v>
      </c>
      <c r="P126" s="22">
        <f t="shared" ref="P126:P127" si="74">ROUND(O126/24,2)</f>
        <v>0</v>
      </c>
      <c r="Q126" s="22">
        <f t="shared" ref="Q126:Q127" si="75">P126*2</f>
        <v>0</v>
      </c>
      <c r="R126" s="23"/>
    </row>
    <row r="127" spans="1:18" ht="18.75" customHeight="1" x14ac:dyDescent="0.35">
      <c r="A127" s="145"/>
      <c r="B127" s="145" t="s">
        <v>10</v>
      </c>
      <c r="C127" s="82"/>
      <c r="D127" s="20">
        <f>ROUND(C127/12,2)</f>
        <v>0</v>
      </c>
      <c r="E127" s="20">
        <f>D127*2</f>
        <v>0</v>
      </c>
      <c r="F127" s="21"/>
      <c r="G127" s="81"/>
      <c r="H127" s="20">
        <f>ROUND(G127/12,2)</f>
        <v>0</v>
      </c>
      <c r="I127" s="20">
        <f>H127*2</f>
        <v>0</v>
      </c>
      <c r="J127" s="21"/>
      <c r="K127" s="82"/>
      <c r="L127" s="20">
        <f>ROUND(K127/12,2)</f>
        <v>0</v>
      </c>
      <c r="M127" s="20">
        <f>L127*2</f>
        <v>0</v>
      </c>
      <c r="N127" s="21"/>
      <c r="O127" s="22">
        <f t="shared" si="53"/>
        <v>0</v>
      </c>
      <c r="P127" s="22">
        <f t="shared" si="74"/>
        <v>0</v>
      </c>
      <c r="Q127" s="22">
        <f t="shared" si="75"/>
        <v>0</v>
      </c>
      <c r="R127" s="23"/>
    </row>
    <row r="128" spans="1:18" ht="18.75" customHeight="1" x14ac:dyDescent="0.35">
      <c r="A128" s="145" t="s">
        <v>45</v>
      </c>
      <c r="B128" s="145" t="s">
        <v>8</v>
      </c>
      <c r="C128" s="82">
        <v>6787</v>
      </c>
      <c r="D128" s="20">
        <f>ROUND(C128/18,2)</f>
        <v>377.06</v>
      </c>
      <c r="E128" s="20"/>
      <c r="F128" s="21">
        <f>SUM(D128,E129:E130)</f>
        <v>395.4</v>
      </c>
      <c r="G128" s="81">
        <v>6928</v>
      </c>
      <c r="H128" s="20">
        <f>ROUND(G128/18,2)</f>
        <v>384.89</v>
      </c>
      <c r="I128" s="20"/>
      <c r="J128" s="21">
        <f>SUM(H128,I129:I130)</f>
        <v>399.72999999999996</v>
      </c>
      <c r="K128" s="82">
        <v>6</v>
      </c>
      <c r="L128" s="20">
        <f>ROUND(K128/18,2)</f>
        <v>0.33</v>
      </c>
      <c r="M128" s="20"/>
      <c r="N128" s="21">
        <f>SUM(L128,M129:M130)</f>
        <v>0.33</v>
      </c>
      <c r="O128" s="22">
        <f t="shared" si="53"/>
        <v>13721</v>
      </c>
      <c r="P128" s="22">
        <f>ROUND(O128/36,2)</f>
        <v>381.14</v>
      </c>
      <c r="Q128" s="22"/>
      <c r="R128" s="23">
        <f>SUM(P128,Q129:Q130)</f>
        <v>397.71999999999997</v>
      </c>
    </row>
    <row r="129" spans="1:18" ht="18.75" customHeight="1" x14ac:dyDescent="0.35">
      <c r="A129" s="145"/>
      <c r="B129" s="145" t="s">
        <v>9</v>
      </c>
      <c r="C129" s="82">
        <v>110</v>
      </c>
      <c r="D129" s="20">
        <f>ROUND(C129/12,2)</f>
        <v>9.17</v>
      </c>
      <c r="E129" s="20">
        <f>D129*2</f>
        <v>18.34</v>
      </c>
      <c r="F129" s="21"/>
      <c r="G129" s="81">
        <v>89</v>
      </c>
      <c r="H129" s="20">
        <f>ROUND(G129/12,2)</f>
        <v>7.42</v>
      </c>
      <c r="I129" s="20">
        <f>H129*2</f>
        <v>14.84</v>
      </c>
      <c r="J129" s="21"/>
      <c r="K129" s="82"/>
      <c r="L129" s="20">
        <f>ROUND(K129/12,2)</f>
        <v>0</v>
      </c>
      <c r="M129" s="20">
        <f>L129*2</f>
        <v>0</v>
      </c>
      <c r="N129" s="21"/>
      <c r="O129" s="22">
        <f t="shared" si="53"/>
        <v>199</v>
      </c>
      <c r="P129" s="22">
        <f t="shared" ref="P129:P130" si="76">ROUND(O129/24,2)</f>
        <v>8.2899999999999991</v>
      </c>
      <c r="Q129" s="22">
        <f t="shared" ref="Q129:Q130" si="77">P129*2</f>
        <v>16.579999999999998</v>
      </c>
      <c r="R129" s="23"/>
    </row>
    <row r="130" spans="1:18" ht="18.75" customHeight="1" x14ac:dyDescent="0.35">
      <c r="A130" s="145"/>
      <c r="B130" s="145" t="s">
        <v>10</v>
      </c>
      <c r="C130" s="82"/>
      <c r="D130" s="20">
        <f>ROUND(C130/12,2)</f>
        <v>0</v>
      </c>
      <c r="E130" s="20">
        <f>D130*2</f>
        <v>0</v>
      </c>
      <c r="F130" s="21"/>
      <c r="G130" s="81"/>
      <c r="H130" s="20">
        <f>ROUND(G130/12,2)</f>
        <v>0</v>
      </c>
      <c r="I130" s="20">
        <f>H130*2</f>
        <v>0</v>
      </c>
      <c r="J130" s="21"/>
      <c r="K130" s="82"/>
      <c r="L130" s="20">
        <f>ROUND(K130/12,2)</f>
        <v>0</v>
      </c>
      <c r="M130" s="20">
        <f>L130*2</f>
        <v>0</v>
      </c>
      <c r="N130" s="21"/>
      <c r="O130" s="22">
        <f t="shared" si="53"/>
        <v>0</v>
      </c>
      <c r="P130" s="22">
        <f t="shared" si="76"/>
        <v>0</v>
      </c>
      <c r="Q130" s="22">
        <f t="shared" si="77"/>
        <v>0</v>
      </c>
      <c r="R130" s="23"/>
    </row>
    <row r="131" spans="1:18" ht="18.75" customHeight="1" x14ac:dyDescent="0.35">
      <c r="A131" s="145" t="s">
        <v>46</v>
      </c>
      <c r="B131" s="145" t="s">
        <v>8</v>
      </c>
      <c r="C131" s="82">
        <v>2158</v>
      </c>
      <c r="D131" s="20">
        <f>ROUND(C131/18,2)</f>
        <v>119.89</v>
      </c>
      <c r="E131" s="20"/>
      <c r="F131" s="21">
        <f>SUM(D131,E132:E133)</f>
        <v>119.89</v>
      </c>
      <c r="G131" s="81">
        <v>4535</v>
      </c>
      <c r="H131" s="20">
        <f>ROUND(G131/18,2)</f>
        <v>251.94</v>
      </c>
      <c r="I131" s="20"/>
      <c r="J131" s="21">
        <f>SUM(H131,I132:I133)</f>
        <v>251.94</v>
      </c>
      <c r="K131" s="82">
        <v>2</v>
      </c>
      <c r="L131" s="20">
        <f>ROUND(K131/18,2)</f>
        <v>0.11</v>
      </c>
      <c r="M131" s="20"/>
      <c r="N131" s="21">
        <f>SUM(L131,M132:M133)</f>
        <v>0.11</v>
      </c>
      <c r="O131" s="22">
        <f t="shared" si="53"/>
        <v>6695</v>
      </c>
      <c r="P131" s="22">
        <f>ROUND(O131/36,2)</f>
        <v>185.97</v>
      </c>
      <c r="Q131" s="22"/>
      <c r="R131" s="23">
        <f>SUM(P131,Q132:Q133)</f>
        <v>185.97</v>
      </c>
    </row>
    <row r="132" spans="1:18" ht="18.75" customHeight="1" x14ac:dyDescent="0.35">
      <c r="A132" s="145"/>
      <c r="B132" s="145" t="s">
        <v>9</v>
      </c>
      <c r="C132" s="82"/>
      <c r="D132" s="20">
        <f>ROUND(C132/12,2)</f>
        <v>0</v>
      </c>
      <c r="E132" s="20">
        <f>D132*2</f>
        <v>0</v>
      </c>
      <c r="F132" s="21"/>
      <c r="G132" s="81"/>
      <c r="H132" s="20">
        <f>ROUND(G132/12,2)</f>
        <v>0</v>
      </c>
      <c r="I132" s="20">
        <f>H132*2</f>
        <v>0</v>
      </c>
      <c r="J132" s="21"/>
      <c r="K132" s="82"/>
      <c r="L132" s="20">
        <f>ROUND(K132/12,2)</f>
        <v>0</v>
      </c>
      <c r="M132" s="20">
        <f>L132*2</f>
        <v>0</v>
      </c>
      <c r="N132" s="21"/>
      <c r="O132" s="22">
        <f t="shared" si="53"/>
        <v>0</v>
      </c>
      <c r="P132" s="22">
        <f t="shared" ref="P132:P133" si="78">ROUND(O132/24,2)</f>
        <v>0</v>
      </c>
      <c r="Q132" s="22">
        <f t="shared" ref="Q132:Q133" si="79">P132*2</f>
        <v>0</v>
      </c>
      <c r="R132" s="23"/>
    </row>
    <row r="133" spans="1:18" ht="18.75" customHeight="1" x14ac:dyDescent="0.35">
      <c r="A133" s="145"/>
      <c r="B133" s="145" t="s">
        <v>10</v>
      </c>
      <c r="C133" s="82"/>
      <c r="D133" s="20">
        <f>ROUND(C133/12,2)</f>
        <v>0</v>
      </c>
      <c r="E133" s="20">
        <f>D133*2</f>
        <v>0</v>
      </c>
      <c r="F133" s="21"/>
      <c r="G133" s="81"/>
      <c r="H133" s="20">
        <f>ROUND(G133/12,2)</f>
        <v>0</v>
      </c>
      <c r="I133" s="20">
        <f>H133*2</f>
        <v>0</v>
      </c>
      <c r="J133" s="21"/>
      <c r="K133" s="82"/>
      <c r="L133" s="20">
        <f>ROUND(K133/12,2)</f>
        <v>0</v>
      </c>
      <c r="M133" s="20">
        <f>L133*2</f>
        <v>0</v>
      </c>
      <c r="N133" s="21"/>
      <c r="O133" s="22">
        <f t="shared" si="53"/>
        <v>0</v>
      </c>
      <c r="P133" s="22">
        <f t="shared" si="78"/>
        <v>0</v>
      </c>
      <c r="Q133" s="22">
        <f t="shared" si="79"/>
        <v>0</v>
      </c>
      <c r="R133" s="23"/>
    </row>
    <row r="134" spans="1:18" ht="18.75" customHeight="1" x14ac:dyDescent="0.35">
      <c r="A134" s="145" t="s">
        <v>47</v>
      </c>
      <c r="B134" s="145" t="s">
        <v>8</v>
      </c>
      <c r="C134" s="82">
        <v>9004</v>
      </c>
      <c r="D134" s="20">
        <f>ROUND(C134/18,2)</f>
        <v>500.22</v>
      </c>
      <c r="E134" s="20"/>
      <c r="F134" s="21">
        <f>SUM(D134,E135:E136)</f>
        <v>500.22</v>
      </c>
      <c r="G134" s="81">
        <v>3556</v>
      </c>
      <c r="H134" s="20">
        <f>ROUND(G134/18,2)</f>
        <v>197.56</v>
      </c>
      <c r="I134" s="20"/>
      <c r="J134" s="21">
        <f>SUM(H134,I135:I136)</f>
        <v>197.56</v>
      </c>
      <c r="K134" s="82">
        <v>6</v>
      </c>
      <c r="L134" s="20">
        <f>ROUND(K134/18,2)</f>
        <v>0.33</v>
      </c>
      <c r="M134" s="20"/>
      <c r="N134" s="21">
        <f>SUM(L134,M135:M136)</f>
        <v>0.33</v>
      </c>
      <c r="O134" s="22">
        <f t="shared" si="53"/>
        <v>12566</v>
      </c>
      <c r="P134" s="22">
        <f>ROUND(O134/36,2)</f>
        <v>349.06</v>
      </c>
      <c r="Q134" s="22"/>
      <c r="R134" s="23">
        <f>SUM(P134,Q135:Q136)</f>
        <v>349.06</v>
      </c>
    </row>
    <row r="135" spans="1:18" ht="18.75" customHeight="1" x14ac:dyDescent="0.35">
      <c r="A135" s="145"/>
      <c r="B135" s="145" t="s">
        <v>9</v>
      </c>
      <c r="C135" s="82"/>
      <c r="D135" s="20">
        <f>ROUND(C135/12,2)</f>
        <v>0</v>
      </c>
      <c r="E135" s="20">
        <f>D135*2</f>
        <v>0</v>
      </c>
      <c r="F135" s="21"/>
      <c r="G135" s="81"/>
      <c r="H135" s="20">
        <f>ROUND(G135/12,2)</f>
        <v>0</v>
      </c>
      <c r="I135" s="20">
        <f>H135*2</f>
        <v>0</v>
      </c>
      <c r="J135" s="21"/>
      <c r="K135" s="82"/>
      <c r="L135" s="20">
        <f>ROUND(K135/12,2)</f>
        <v>0</v>
      </c>
      <c r="M135" s="20">
        <f>L135*2</f>
        <v>0</v>
      </c>
      <c r="N135" s="21"/>
      <c r="O135" s="22">
        <f t="shared" si="53"/>
        <v>0</v>
      </c>
      <c r="P135" s="22">
        <f t="shared" ref="P135:P136" si="80">ROUND(O135/24,2)</f>
        <v>0</v>
      </c>
      <c r="Q135" s="22">
        <f t="shared" ref="Q135:Q136" si="81">P135*2</f>
        <v>0</v>
      </c>
      <c r="R135" s="23"/>
    </row>
    <row r="136" spans="1:18" ht="18.75" customHeight="1" x14ac:dyDescent="0.35">
      <c r="A136" s="145"/>
      <c r="B136" s="145" t="s">
        <v>10</v>
      </c>
      <c r="C136" s="82"/>
      <c r="D136" s="20">
        <f>ROUND(C136/12,2)</f>
        <v>0</v>
      </c>
      <c r="E136" s="20">
        <f>D136*2</f>
        <v>0</v>
      </c>
      <c r="F136" s="21"/>
      <c r="G136" s="81"/>
      <c r="H136" s="20">
        <f>ROUND(G136/12,2)</f>
        <v>0</v>
      </c>
      <c r="I136" s="20">
        <f>H136*2</f>
        <v>0</v>
      </c>
      <c r="J136" s="21"/>
      <c r="K136" s="82"/>
      <c r="L136" s="20">
        <f>ROUND(K136/12,2)</f>
        <v>0</v>
      </c>
      <c r="M136" s="20">
        <f>L136*2</f>
        <v>0</v>
      </c>
      <c r="N136" s="21"/>
      <c r="O136" s="22">
        <f t="shared" si="53"/>
        <v>0</v>
      </c>
      <c r="P136" s="22">
        <f t="shared" si="80"/>
        <v>0</v>
      </c>
      <c r="Q136" s="22">
        <f t="shared" si="81"/>
        <v>0</v>
      </c>
      <c r="R136" s="23"/>
    </row>
    <row r="137" spans="1:18" ht="18.75" customHeight="1" x14ac:dyDescent="0.35">
      <c r="A137" s="145" t="s">
        <v>48</v>
      </c>
      <c r="B137" s="145" t="s">
        <v>8</v>
      </c>
      <c r="C137" s="82">
        <v>4994</v>
      </c>
      <c r="D137" s="20">
        <f>ROUND(C137/18,2)</f>
        <v>277.44</v>
      </c>
      <c r="E137" s="20"/>
      <c r="F137" s="21">
        <f>SUM(D137,E138:E139)</f>
        <v>294.44</v>
      </c>
      <c r="G137" s="81">
        <v>4229</v>
      </c>
      <c r="H137" s="20">
        <f>ROUND(G137/18,2)</f>
        <v>234.94</v>
      </c>
      <c r="I137" s="20"/>
      <c r="J137" s="21">
        <f>SUM(H137,I138:I139)</f>
        <v>249.1</v>
      </c>
      <c r="K137" s="82"/>
      <c r="L137" s="20">
        <f>ROUND(K137/18,2)</f>
        <v>0</v>
      </c>
      <c r="M137" s="20"/>
      <c r="N137" s="21">
        <f>SUM(L137,M138:M139)</f>
        <v>0</v>
      </c>
      <c r="O137" s="22">
        <f t="shared" si="53"/>
        <v>9223</v>
      </c>
      <c r="P137" s="22">
        <f>ROUND(O137/36,2)</f>
        <v>256.19</v>
      </c>
      <c r="Q137" s="22"/>
      <c r="R137" s="23">
        <f>SUM(P137,Q138:Q139)</f>
        <v>271.77000000000004</v>
      </c>
    </row>
    <row r="138" spans="1:18" ht="18.75" customHeight="1" x14ac:dyDescent="0.35">
      <c r="A138" s="145"/>
      <c r="B138" s="145" t="s">
        <v>9</v>
      </c>
      <c r="C138" s="82">
        <v>65</v>
      </c>
      <c r="D138" s="20">
        <f>ROUND(C138/12,2)</f>
        <v>5.42</v>
      </c>
      <c r="E138" s="20">
        <f>D138*2</f>
        <v>10.84</v>
      </c>
      <c r="F138" s="21"/>
      <c r="G138" s="81">
        <v>54</v>
      </c>
      <c r="H138" s="20">
        <f>ROUND(G138/12,2)</f>
        <v>4.5</v>
      </c>
      <c r="I138" s="20">
        <f>H138*2</f>
        <v>9</v>
      </c>
      <c r="J138" s="21"/>
      <c r="K138" s="82"/>
      <c r="L138" s="20">
        <f>ROUND(K138/12,2)</f>
        <v>0</v>
      </c>
      <c r="M138" s="20">
        <f>L138*2</f>
        <v>0</v>
      </c>
      <c r="N138" s="21"/>
      <c r="O138" s="22">
        <f t="shared" si="53"/>
        <v>119</v>
      </c>
      <c r="P138" s="22">
        <f t="shared" ref="P138:P139" si="82">ROUND(O138/24,2)</f>
        <v>4.96</v>
      </c>
      <c r="Q138" s="22">
        <f t="shared" ref="Q138:Q139" si="83">P138*2</f>
        <v>9.92</v>
      </c>
      <c r="R138" s="23"/>
    </row>
    <row r="139" spans="1:18" ht="18.75" customHeight="1" x14ac:dyDescent="0.35">
      <c r="A139" s="145"/>
      <c r="B139" s="145" t="s">
        <v>10</v>
      </c>
      <c r="C139" s="82">
        <v>37</v>
      </c>
      <c r="D139" s="20">
        <f>ROUND(C139/12,2)</f>
        <v>3.08</v>
      </c>
      <c r="E139" s="20">
        <f>D139*2</f>
        <v>6.16</v>
      </c>
      <c r="F139" s="21"/>
      <c r="G139" s="81">
        <v>31</v>
      </c>
      <c r="H139" s="20">
        <f>ROUND(G139/12,2)</f>
        <v>2.58</v>
      </c>
      <c r="I139" s="20">
        <f>H139*2</f>
        <v>5.16</v>
      </c>
      <c r="J139" s="21"/>
      <c r="K139" s="82"/>
      <c r="L139" s="20">
        <f>ROUND(K139/12,2)</f>
        <v>0</v>
      </c>
      <c r="M139" s="20">
        <f>L139*2</f>
        <v>0</v>
      </c>
      <c r="N139" s="21"/>
      <c r="O139" s="22">
        <f t="shared" si="53"/>
        <v>68</v>
      </c>
      <c r="P139" s="22">
        <f t="shared" si="82"/>
        <v>2.83</v>
      </c>
      <c r="Q139" s="22">
        <f t="shared" si="83"/>
        <v>5.66</v>
      </c>
      <c r="R139" s="23"/>
    </row>
    <row r="140" spans="1:18" ht="18.75" customHeight="1" x14ac:dyDescent="0.35">
      <c r="A140" s="145" t="s">
        <v>49</v>
      </c>
      <c r="B140" s="145" t="s">
        <v>8</v>
      </c>
      <c r="C140" s="82">
        <v>1330</v>
      </c>
      <c r="D140" s="20">
        <f>ROUND(C140/18,2)</f>
        <v>73.89</v>
      </c>
      <c r="E140" s="20"/>
      <c r="F140" s="21">
        <f>SUM(D140,E141:E142)</f>
        <v>73.89</v>
      </c>
      <c r="G140" s="81">
        <v>1816</v>
      </c>
      <c r="H140" s="20">
        <f>ROUND(G140/18,2)</f>
        <v>100.89</v>
      </c>
      <c r="I140" s="20"/>
      <c r="J140" s="21">
        <f>SUM(H140,I141:I142)</f>
        <v>100.89</v>
      </c>
      <c r="K140" s="82">
        <v>12</v>
      </c>
      <c r="L140" s="20">
        <f>ROUND(K140/18,2)</f>
        <v>0.67</v>
      </c>
      <c r="M140" s="20"/>
      <c r="N140" s="21">
        <f>SUM(L140,M141:M142)</f>
        <v>0.67</v>
      </c>
      <c r="O140" s="22">
        <f t="shared" si="53"/>
        <v>3158</v>
      </c>
      <c r="P140" s="22">
        <f>ROUND(O140/36,2)</f>
        <v>87.72</v>
      </c>
      <c r="Q140" s="22"/>
      <c r="R140" s="23">
        <f>SUM(P140,Q141:Q142)</f>
        <v>87.72</v>
      </c>
    </row>
    <row r="141" spans="1:18" ht="18.75" customHeight="1" x14ac:dyDescent="0.35">
      <c r="A141" s="145"/>
      <c r="B141" s="145" t="s">
        <v>9</v>
      </c>
      <c r="C141" s="82"/>
      <c r="D141" s="20">
        <f>ROUND(C141/12,2)</f>
        <v>0</v>
      </c>
      <c r="E141" s="20">
        <f>D141*2</f>
        <v>0</v>
      </c>
      <c r="F141" s="21"/>
      <c r="G141" s="81"/>
      <c r="H141" s="20">
        <f>ROUND(G141/12,2)</f>
        <v>0</v>
      </c>
      <c r="I141" s="20">
        <f>H141*2</f>
        <v>0</v>
      </c>
      <c r="J141" s="21"/>
      <c r="K141" s="82"/>
      <c r="L141" s="20">
        <f>ROUND(K141/12,2)</f>
        <v>0</v>
      </c>
      <c r="M141" s="20">
        <f>L141*2</f>
        <v>0</v>
      </c>
      <c r="N141" s="21"/>
      <c r="O141" s="22">
        <f t="shared" si="53"/>
        <v>0</v>
      </c>
      <c r="P141" s="22">
        <f t="shared" ref="P141:P142" si="84">ROUND(O141/24,2)</f>
        <v>0</v>
      </c>
      <c r="Q141" s="22">
        <f t="shared" ref="Q141:Q142" si="85">P141*2</f>
        <v>0</v>
      </c>
      <c r="R141" s="23"/>
    </row>
    <row r="142" spans="1:18" ht="18.75" customHeight="1" x14ac:dyDescent="0.35">
      <c r="A142" s="145"/>
      <c r="B142" s="145" t="s">
        <v>10</v>
      </c>
      <c r="C142" s="82"/>
      <c r="D142" s="20">
        <f>ROUND(C142/12,2)</f>
        <v>0</v>
      </c>
      <c r="E142" s="20">
        <f>D142*2</f>
        <v>0</v>
      </c>
      <c r="F142" s="21"/>
      <c r="G142" s="81"/>
      <c r="H142" s="20">
        <f>ROUND(G142/12,2)</f>
        <v>0</v>
      </c>
      <c r="I142" s="20">
        <f>H142*2</f>
        <v>0</v>
      </c>
      <c r="J142" s="21"/>
      <c r="K142" s="82"/>
      <c r="L142" s="20">
        <f>ROUND(K142/12,2)</f>
        <v>0</v>
      </c>
      <c r="M142" s="20">
        <f>L142*2</f>
        <v>0</v>
      </c>
      <c r="N142" s="21"/>
      <c r="O142" s="22">
        <f t="shared" si="53"/>
        <v>0</v>
      </c>
      <c r="P142" s="22">
        <f t="shared" si="84"/>
        <v>0</v>
      </c>
      <c r="Q142" s="22">
        <f t="shared" si="85"/>
        <v>0</v>
      </c>
      <c r="R142" s="23"/>
    </row>
    <row r="143" spans="1:18" ht="18.75" customHeight="1" x14ac:dyDescent="0.35">
      <c r="A143" s="145" t="s">
        <v>50</v>
      </c>
      <c r="B143" s="145" t="s">
        <v>8</v>
      </c>
      <c r="C143" s="82">
        <v>1831</v>
      </c>
      <c r="D143" s="20">
        <f>ROUND(C143/18,2)</f>
        <v>101.72</v>
      </c>
      <c r="E143" s="20"/>
      <c r="F143" s="21">
        <f>SUM(D143,E144:E145)</f>
        <v>105.72</v>
      </c>
      <c r="G143" s="81">
        <v>4752</v>
      </c>
      <c r="H143" s="20">
        <f>ROUND(G143/18,2)</f>
        <v>264</v>
      </c>
      <c r="I143" s="20"/>
      <c r="J143" s="21">
        <f>SUM(H143,I144:I145)</f>
        <v>273.83999999999997</v>
      </c>
      <c r="K143" s="82"/>
      <c r="L143" s="20">
        <f>ROUND(K143/18,2)</f>
        <v>0</v>
      </c>
      <c r="M143" s="20"/>
      <c r="N143" s="21">
        <f>SUM(L143,M144:M145)</f>
        <v>0</v>
      </c>
      <c r="O143" s="22">
        <f t="shared" si="53"/>
        <v>6583</v>
      </c>
      <c r="P143" s="22">
        <f>ROUND(O143/36,2)</f>
        <v>182.86</v>
      </c>
      <c r="Q143" s="22"/>
      <c r="R143" s="23">
        <f>SUM(P143,Q144:Q145)</f>
        <v>189.78</v>
      </c>
    </row>
    <row r="144" spans="1:18" ht="18.75" customHeight="1" x14ac:dyDescent="0.35">
      <c r="A144" s="145"/>
      <c r="B144" s="145" t="s">
        <v>9</v>
      </c>
      <c r="C144" s="82"/>
      <c r="D144" s="20">
        <f>ROUND(C144/12,2)</f>
        <v>0</v>
      </c>
      <c r="E144" s="20">
        <f>D144*2</f>
        <v>0</v>
      </c>
      <c r="F144" s="21"/>
      <c r="G144" s="81">
        <v>33</v>
      </c>
      <c r="H144" s="20">
        <f>ROUND(G144/12,2)</f>
        <v>2.75</v>
      </c>
      <c r="I144" s="20">
        <f>H144*2</f>
        <v>5.5</v>
      </c>
      <c r="J144" s="21"/>
      <c r="K144" s="82"/>
      <c r="L144" s="20">
        <f>ROUND(K144/12,2)</f>
        <v>0</v>
      </c>
      <c r="M144" s="20">
        <f>L144*2</f>
        <v>0</v>
      </c>
      <c r="N144" s="21"/>
      <c r="O144" s="22">
        <f t="shared" si="53"/>
        <v>33</v>
      </c>
      <c r="P144" s="22">
        <f t="shared" ref="P144:P145" si="86">ROUND(O144/24,2)</f>
        <v>1.38</v>
      </c>
      <c r="Q144" s="22">
        <f t="shared" ref="Q144:Q145" si="87">P144*2</f>
        <v>2.76</v>
      </c>
      <c r="R144" s="23"/>
    </row>
    <row r="145" spans="1:18" ht="18.75" customHeight="1" x14ac:dyDescent="0.35">
      <c r="A145" s="145"/>
      <c r="B145" s="145" t="s">
        <v>10</v>
      </c>
      <c r="C145" s="82">
        <v>24</v>
      </c>
      <c r="D145" s="20">
        <f>ROUND(C145/12,2)</f>
        <v>2</v>
      </c>
      <c r="E145" s="20">
        <f>D145*2</f>
        <v>4</v>
      </c>
      <c r="F145" s="21"/>
      <c r="G145" s="81">
        <v>26</v>
      </c>
      <c r="H145" s="20">
        <f>ROUND(G145/12,2)</f>
        <v>2.17</v>
      </c>
      <c r="I145" s="20">
        <f>H145*2</f>
        <v>4.34</v>
      </c>
      <c r="J145" s="21"/>
      <c r="K145" s="82"/>
      <c r="L145" s="20">
        <f>ROUND(K145/12,2)</f>
        <v>0</v>
      </c>
      <c r="M145" s="20">
        <f>L145*2</f>
        <v>0</v>
      </c>
      <c r="N145" s="21"/>
      <c r="O145" s="22">
        <f t="shared" si="53"/>
        <v>50</v>
      </c>
      <c r="P145" s="22">
        <f t="shared" si="86"/>
        <v>2.08</v>
      </c>
      <c r="Q145" s="22">
        <f t="shared" si="87"/>
        <v>4.16</v>
      </c>
      <c r="R145" s="23"/>
    </row>
    <row r="146" spans="1:18" ht="18.75" customHeight="1" x14ac:dyDescent="0.35">
      <c r="A146" s="145" t="s">
        <v>51</v>
      </c>
      <c r="B146" s="145" t="s">
        <v>8</v>
      </c>
      <c r="C146" s="82">
        <v>1645</v>
      </c>
      <c r="D146" s="20">
        <f>ROUND(C146/18,2)</f>
        <v>91.39</v>
      </c>
      <c r="E146" s="20"/>
      <c r="F146" s="21">
        <f>SUM(D146,E147:E148)</f>
        <v>101.73</v>
      </c>
      <c r="G146" s="81">
        <v>1821</v>
      </c>
      <c r="H146" s="20">
        <f>ROUND(G146/18,2)</f>
        <v>101.17</v>
      </c>
      <c r="I146" s="20"/>
      <c r="J146" s="21">
        <f>SUM(H146,I147:I148)</f>
        <v>112.17</v>
      </c>
      <c r="K146" s="82">
        <v>2</v>
      </c>
      <c r="L146" s="20">
        <f>ROUND(K146/18,2)</f>
        <v>0.11</v>
      </c>
      <c r="M146" s="20"/>
      <c r="N146" s="21">
        <f>SUM(L146,M147:M148)</f>
        <v>0.11</v>
      </c>
      <c r="O146" s="22">
        <f t="shared" si="53"/>
        <v>3468</v>
      </c>
      <c r="P146" s="22">
        <f>ROUND(O146/36,2)</f>
        <v>96.33</v>
      </c>
      <c r="Q146" s="22"/>
      <c r="R146" s="23">
        <f>SUM(P146,Q147:Q148)</f>
        <v>106.99</v>
      </c>
    </row>
    <row r="147" spans="1:18" ht="18.75" customHeight="1" x14ac:dyDescent="0.35">
      <c r="A147" s="145"/>
      <c r="B147" s="145" t="s">
        <v>9</v>
      </c>
      <c r="C147" s="82">
        <v>62</v>
      </c>
      <c r="D147" s="20">
        <f>ROUND(C147/12,2)</f>
        <v>5.17</v>
      </c>
      <c r="E147" s="20">
        <f>D147*2</f>
        <v>10.34</v>
      </c>
      <c r="F147" s="21"/>
      <c r="G147" s="81">
        <v>66</v>
      </c>
      <c r="H147" s="20">
        <f>ROUND(G147/12,2)</f>
        <v>5.5</v>
      </c>
      <c r="I147" s="20">
        <f>H147*2</f>
        <v>11</v>
      </c>
      <c r="J147" s="21"/>
      <c r="K147" s="82"/>
      <c r="L147" s="20">
        <f>ROUND(K147/12,2)</f>
        <v>0</v>
      </c>
      <c r="M147" s="20">
        <f>L147*2</f>
        <v>0</v>
      </c>
      <c r="N147" s="21"/>
      <c r="O147" s="22">
        <f t="shared" si="53"/>
        <v>128</v>
      </c>
      <c r="P147" s="22">
        <f t="shared" ref="P147:P148" si="88">ROUND(O147/24,2)</f>
        <v>5.33</v>
      </c>
      <c r="Q147" s="22">
        <f t="shared" ref="Q147:Q148" si="89">P147*2</f>
        <v>10.66</v>
      </c>
      <c r="R147" s="23"/>
    </row>
    <row r="148" spans="1:18" ht="18.75" customHeight="1" x14ac:dyDescent="0.35">
      <c r="A148" s="145"/>
      <c r="B148" s="145" t="s">
        <v>10</v>
      </c>
      <c r="C148" s="82"/>
      <c r="D148" s="20">
        <f>ROUND(C148/12,2)</f>
        <v>0</v>
      </c>
      <c r="E148" s="20">
        <f>D148*2</f>
        <v>0</v>
      </c>
      <c r="F148" s="21"/>
      <c r="G148" s="81"/>
      <c r="H148" s="20">
        <f>ROUND(G148/12,2)</f>
        <v>0</v>
      </c>
      <c r="I148" s="20">
        <f>H148*2</f>
        <v>0</v>
      </c>
      <c r="J148" s="21"/>
      <c r="K148" s="82"/>
      <c r="L148" s="20">
        <f>ROUND(K148/12,2)</f>
        <v>0</v>
      </c>
      <c r="M148" s="20">
        <f>L148*2</f>
        <v>0</v>
      </c>
      <c r="N148" s="21"/>
      <c r="O148" s="22">
        <f t="shared" si="53"/>
        <v>0</v>
      </c>
      <c r="P148" s="22">
        <f t="shared" si="88"/>
        <v>0</v>
      </c>
      <c r="Q148" s="22">
        <f t="shared" si="89"/>
        <v>0</v>
      </c>
      <c r="R148" s="23"/>
    </row>
    <row r="149" spans="1:18" ht="18.75" customHeight="1" x14ac:dyDescent="0.35">
      <c r="A149" s="145" t="s">
        <v>52</v>
      </c>
      <c r="B149" s="145" t="s">
        <v>8</v>
      </c>
      <c r="C149" s="82">
        <f>370+1666+6371.65+1628.3+277+10.526</f>
        <v>10323.475999999999</v>
      </c>
      <c r="D149" s="20">
        <f>ROUND(C149/18,2)</f>
        <v>573.53</v>
      </c>
      <c r="E149" s="20"/>
      <c r="F149" s="21">
        <f>SUM(D149,E150:E151)</f>
        <v>580.18999999999994</v>
      </c>
      <c r="G149" s="81">
        <f>131+1757+539+7911</f>
        <v>10338</v>
      </c>
      <c r="H149" s="20">
        <f>ROUND(G149/18,2)</f>
        <v>574.33000000000004</v>
      </c>
      <c r="I149" s="20"/>
      <c r="J149" s="21">
        <f>SUM(H149,I150:I151)</f>
        <v>576.49</v>
      </c>
      <c r="K149" s="82">
        <v>478</v>
      </c>
      <c r="L149" s="20">
        <f>ROUND(K149/18,2)</f>
        <v>26.56</v>
      </c>
      <c r="M149" s="20"/>
      <c r="N149" s="21">
        <f>SUM(L149,M150:M151)</f>
        <v>26.56</v>
      </c>
      <c r="O149" s="22">
        <f t="shared" si="53"/>
        <v>21139.475999999999</v>
      </c>
      <c r="P149" s="22">
        <f>ROUND(O149/36,2)</f>
        <v>587.21</v>
      </c>
      <c r="Q149" s="22"/>
      <c r="R149" s="23">
        <f>SUM(P149,Q150:Q151)</f>
        <v>591.63</v>
      </c>
    </row>
    <row r="150" spans="1:18" ht="18.75" customHeight="1" x14ac:dyDescent="0.35">
      <c r="A150" s="145"/>
      <c r="B150" s="145" t="s">
        <v>9</v>
      </c>
      <c r="C150" s="82">
        <f>7+33</f>
        <v>40</v>
      </c>
      <c r="D150" s="20">
        <f>ROUND(C150/12,2)</f>
        <v>3.33</v>
      </c>
      <c r="E150" s="20">
        <f>D150*2</f>
        <v>6.66</v>
      </c>
      <c r="F150" s="21"/>
      <c r="G150" s="81">
        <v>13</v>
      </c>
      <c r="H150" s="20">
        <f>ROUND(G150/12,2)</f>
        <v>1.08</v>
      </c>
      <c r="I150" s="20">
        <f>H150*2</f>
        <v>2.16</v>
      </c>
      <c r="J150" s="21"/>
      <c r="K150" s="82"/>
      <c r="L150" s="20">
        <f>ROUND(K150/12,2)</f>
        <v>0</v>
      </c>
      <c r="M150" s="20">
        <f>L150*2</f>
        <v>0</v>
      </c>
      <c r="N150" s="21"/>
      <c r="O150" s="22">
        <f t="shared" si="53"/>
        <v>53</v>
      </c>
      <c r="P150" s="22">
        <f t="shared" ref="P150:P151" si="90">ROUND(O150/24,2)</f>
        <v>2.21</v>
      </c>
      <c r="Q150" s="22">
        <f t="shared" ref="Q150:Q151" si="91">P150*2</f>
        <v>4.42</v>
      </c>
      <c r="R150" s="23"/>
    </row>
    <row r="151" spans="1:18" ht="18.75" customHeight="1" x14ac:dyDescent="0.35">
      <c r="A151" s="145"/>
      <c r="B151" s="145" t="s">
        <v>10</v>
      </c>
      <c r="C151" s="82"/>
      <c r="D151" s="20">
        <f>ROUND(C151/12,2)</f>
        <v>0</v>
      </c>
      <c r="E151" s="20">
        <f>D151*2</f>
        <v>0</v>
      </c>
      <c r="F151" s="21"/>
      <c r="G151" s="81"/>
      <c r="H151" s="20">
        <f>ROUND(G151/12,2)</f>
        <v>0</v>
      </c>
      <c r="I151" s="20">
        <f>H151*2</f>
        <v>0</v>
      </c>
      <c r="J151" s="21"/>
      <c r="K151" s="82"/>
      <c r="L151" s="20">
        <f>ROUND(K151/12,2)</f>
        <v>0</v>
      </c>
      <c r="M151" s="20">
        <f>L151*2</f>
        <v>0</v>
      </c>
      <c r="N151" s="21"/>
      <c r="O151" s="22">
        <f t="shared" si="53"/>
        <v>0</v>
      </c>
      <c r="P151" s="22">
        <f t="shared" si="90"/>
        <v>0</v>
      </c>
      <c r="Q151" s="22">
        <f t="shared" si="91"/>
        <v>0</v>
      </c>
      <c r="R151" s="23"/>
    </row>
    <row r="152" spans="1:18" ht="18.75" customHeight="1" x14ac:dyDescent="0.35">
      <c r="A152" s="145" t="s">
        <v>53</v>
      </c>
      <c r="B152" s="145" t="s">
        <v>8</v>
      </c>
      <c r="C152" s="82">
        <f>2204+2209.7</f>
        <v>4413.7</v>
      </c>
      <c r="D152" s="20">
        <f>ROUND(C152/18,2)</f>
        <v>245.21</v>
      </c>
      <c r="E152" s="20"/>
      <c r="F152" s="21">
        <f>SUM(D152,E153:E154)</f>
        <v>254.21</v>
      </c>
      <c r="G152" s="81">
        <v>4789</v>
      </c>
      <c r="H152" s="20">
        <f>ROUND(G152/18,2)</f>
        <v>266.06</v>
      </c>
      <c r="I152" s="20"/>
      <c r="J152" s="21">
        <f>SUM(H152,I153:I154)</f>
        <v>272.89999999999998</v>
      </c>
      <c r="K152" s="82"/>
      <c r="L152" s="20">
        <f>ROUND(K152/18,2)</f>
        <v>0</v>
      </c>
      <c r="M152" s="20"/>
      <c r="N152" s="21">
        <f>SUM(L152,M153:M154)</f>
        <v>0</v>
      </c>
      <c r="O152" s="22">
        <f t="shared" si="53"/>
        <v>9202.7000000000007</v>
      </c>
      <c r="P152" s="22">
        <f>ROUND(O152/36,2)</f>
        <v>255.63</v>
      </c>
      <c r="Q152" s="22"/>
      <c r="R152" s="23">
        <f>SUM(P152,Q153:Q154)</f>
        <v>263.55</v>
      </c>
    </row>
    <row r="153" spans="1:18" ht="18.75" customHeight="1" x14ac:dyDescent="0.35">
      <c r="A153" s="145"/>
      <c r="B153" s="145" t="s">
        <v>9</v>
      </c>
      <c r="C153" s="82">
        <v>54</v>
      </c>
      <c r="D153" s="20">
        <f>ROUND(C153/12,2)</f>
        <v>4.5</v>
      </c>
      <c r="E153" s="20">
        <f>D153*2</f>
        <v>9</v>
      </c>
      <c r="F153" s="21"/>
      <c r="G153" s="81">
        <v>41</v>
      </c>
      <c r="H153" s="20">
        <f>ROUND(G153/12,2)</f>
        <v>3.42</v>
      </c>
      <c r="I153" s="20">
        <f>H153*2</f>
        <v>6.84</v>
      </c>
      <c r="J153" s="21"/>
      <c r="K153" s="82"/>
      <c r="L153" s="20">
        <f>ROUND(K153/12,2)</f>
        <v>0</v>
      </c>
      <c r="M153" s="20">
        <f>L153*2</f>
        <v>0</v>
      </c>
      <c r="N153" s="21"/>
      <c r="O153" s="22">
        <f t="shared" si="53"/>
        <v>95</v>
      </c>
      <c r="P153" s="22">
        <f t="shared" ref="P153:P154" si="92">ROUND(O153/24,2)</f>
        <v>3.96</v>
      </c>
      <c r="Q153" s="22">
        <f t="shared" ref="Q153:Q154" si="93">P153*2</f>
        <v>7.92</v>
      </c>
      <c r="R153" s="23"/>
    </row>
    <row r="154" spans="1:18" ht="18.75" customHeight="1" x14ac:dyDescent="0.35">
      <c r="A154" s="145"/>
      <c r="B154" s="145" t="s">
        <v>10</v>
      </c>
      <c r="C154" s="82"/>
      <c r="D154" s="20">
        <f>ROUND(C154/12,2)</f>
        <v>0</v>
      </c>
      <c r="E154" s="20">
        <f>D154*2</f>
        <v>0</v>
      </c>
      <c r="F154" s="21"/>
      <c r="G154" s="81"/>
      <c r="H154" s="20">
        <f>ROUND(G154/12,2)</f>
        <v>0</v>
      </c>
      <c r="I154" s="20">
        <f>H154*2</f>
        <v>0</v>
      </c>
      <c r="J154" s="21"/>
      <c r="K154" s="82"/>
      <c r="L154" s="20">
        <f>ROUND(K154/12,2)</f>
        <v>0</v>
      </c>
      <c r="M154" s="20">
        <f>L154*2</f>
        <v>0</v>
      </c>
      <c r="N154" s="21"/>
      <c r="O154" s="22">
        <f t="shared" si="53"/>
        <v>0</v>
      </c>
      <c r="P154" s="22">
        <f t="shared" si="92"/>
        <v>0</v>
      </c>
      <c r="Q154" s="22">
        <f t="shared" si="93"/>
        <v>0</v>
      </c>
      <c r="R154" s="23"/>
    </row>
    <row r="155" spans="1:18" ht="18.75" customHeight="1" x14ac:dyDescent="0.35">
      <c r="A155" s="145" t="s">
        <v>121</v>
      </c>
      <c r="B155" s="145" t="s">
        <v>8</v>
      </c>
      <c r="C155" s="82">
        <v>526</v>
      </c>
      <c r="D155" s="20">
        <f>ROUND(C155/18,2)</f>
        <v>29.22</v>
      </c>
      <c r="E155" s="20"/>
      <c r="F155" s="21">
        <f>SUM(D155,E156:E157)</f>
        <v>29.22</v>
      </c>
      <c r="G155" s="81"/>
      <c r="H155" s="20">
        <f>ROUND(G155/18,2)</f>
        <v>0</v>
      </c>
      <c r="I155" s="20"/>
      <c r="J155" s="21">
        <f>SUM(H155,I156:I157)</f>
        <v>0</v>
      </c>
      <c r="K155" s="82"/>
      <c r="L155" s="20">
        <f>ROUND(K155/18,2)</f>
        <v>0</v>
      </c>
      <c r="M155" s="20"/>
      <c r="N155" s="21">
        <f>SUM(L155,M156:M157)</f>
        <v>0</v>
      </c>
      <c r="O155" s="22"/>
      <c r="P155" s="22">
        <f>ROUND(O155/36,2)</f>
        <v>0</v>
      </c>
      <c r="Q155" s="22"/>
      <c r="R155" s="23">
        <f>SUM(P155,Q156:Q157)</f>
        <v>0</v>
      </c>
    </row>
    <row r="156" spans="1:18" ht="18.75" customHeight="1" x14ac:dyDescent="0.35">
      <c r="A156" s="145"/>
      <c r="B156" s="145" t="s">
        <v>9</v>
      </c>
      <c r="C156" s="82"/>
      <c r="D156" s="20">
        <f>ROUND(C156/12,2)</f>
        <v>0</v>
      </c>
      <c r="E156" s="20">
        <f>D156*2</f>
        <v>0</v>
      </c>
      <c r="F156" s="21"/>
      <c r="G156" s="81"/>
      <c r="H156" s="20">
        <f>ROUND(G156/12,2)</f>
        <v>0</v>
      </c>
      <c r="I156" s="20">
        <f>H156*2</f>
        <v>0</v>
      </c>
      <c r="J156" s="21"/>
      <c r="K156" s="82"/>
      <c r="L156" s="20">
        <f>ROUND(K156/12,2)</f>
        <v>0</v>
      </c>
      <c r="M156" s="20">
        <f>L156*2</f>
        <v>0</v>
      </c>
      <c r="N156" s="21"/>
      <c r="O156" s="22"/>
      <c r="P156" s="22">
        <f t="shared" ref="P156:P157" si="94">ROUND(O156/24,2)</f>
        <v>0</v>
      </c>
      <c r="Q156" s="22">
        <f t="shared" ref="Q156:Q157" si="95">P156*2</f>
        <v>0</v>
      </c>
      <c r="R156" s="23"/>
    </row>
    <row r="157" spans="1:18" ht="18.75" customHeight="1" x14ac:dyDescent="0.35">
      <c r="A157" s="145"/>
      <c r="B157" s="145" t="s">
        <v>10</v>
      </c>
      <c r="C157" s="82"/>
      <c r="D157" s="20">
        <f>ROUND(C157/12,2)</f>
        <v>0</v>
      </c>
      <c r="E157" s="20">
        <f>D157*2</f>
        <v>0</v>
      </c>
      <c r="F157" s="21"/>
      <c r="G157" s="81"/>
      <c r="H157" s="20">
        <f>ROUND(G157/12,2)</f>
        <v>0</v>
      </c>
      <c r="I157" s="20">
        <f>H157*2</f>
        <v>0</v>
      </c>
      <c r="J157" s="21"/>
      <c r="K157" s="82"/>
      <c r="L157" s="20">
        <f>ROUND(K157/12,2)</f>
        <v>0</v>
      </c>
      <c r="M157" s="20">
        <f>L157*2</f>
        <v>0</v>
      </c>
      <c r="N157" s="21"/>
      <c r="O157" s="22"/>
      <c r="P157" s="22">
        <f t="shared" si="94"/>
        <v>0</v>
      </c>
      <c r="Q157" s="22">
        <f t="shared" si="95"/>
        <v>0</v>
      </c>
      <c r="R157" s="23"/>
    </row>
    <row r="158" spans="1:18" ht="18.75" customHeight="1" x14ac:dyDescent="0.35">
      <c r="A158" s="173" t="s">
        <v>22</v>
      </c>
      <c r="B158" s="151" t="s">
        <v>8</v>
      </c>
      <c r="C158" s="93">
        <f>SUMIF($B$124:$B$157,"ปริญญาตรี",C124:C157)</f>
        <v>55959.576000000001</v>
      </c>
      <c r="D158" s="248">
        <f>ROUND(C158/18,2)</f>
        <v>3108.87</v>
      </c>
      <c r="E158" s="248"/>
      <c r="F158" s="249">
        <f>SUM(D158,E159:E160)</f>
        <v>3174.1899999999996</v>
      </c>
      <c r="G158" s="93">
        <f>SUMIF($B$124:$B$157,"ปริญญาตรี",G124:G157)</f>
        <v>53509</v>
      </c>
      <c r="H158" s="248">
        <f>ROUND(G158/18,2)</f>
        <v>2972.72</v>
      </c>
      <c r="I158" s="248"/>
      <c r="J158" s="249">
        <f>SUM(H158,I159:I160)</f>
        <v>3031.56</v>
      </c>
      <c r="K158" s="93">
        <f>SUMIF($B$124:$B$157,"ปริญญาตรี",K124:K157)</f>
        <v>518</v>
      </c>
      <c r="L158" s="248">
        <f>ROUND(K158/18,2)</f>
        <v>28.78</v>
      </c>
      <c r="M158" s="248"/>
      <c r="N158" s="249">
        <f>SUM(L158,M159:M160)</f>
        <v>28.78</v>
      </c>
      <c r="O158" s="253">
        <f t="shared" si="53"/>
        <v>109986.576</v>
      </c>
      <c r="P158" s="254">
        <f>ROUND(O158/36,2)</f>
        <v>3055.18</v>
      </c>
      <c r="Q158" s="254"/>
      <c r="R158" s="255">
        <f>SUM(P158,Q159:Q160)</f>
        <v>3117.28</v>
      </c>
    </row>
    <row r="159" spans="1:18" ht="18.75" customHeight="1" x14ac:dyDescent="0.35">
      <c r="A159" s="174" t="s">
        <v>22</v>
      </c>
      <c r="B159" s="151" t="s">
        <v>9</v>
      </c>
      <c r="C159" s="93">
        <f>SUMIF($B$124:$B$157,"ปริญญาโท",C124:C157)</f>
        <v>331</v>
      </c>
      <c r="D159" s="248">
        <f>ROUND(C159/12,2)</f>
        <v>27.58</v>
      </c>
      <c r="E159" s="248">
        <f>D159*2</f>
        <v>55.16</v>
      </c>
      <c r="F159" s="249"/>
      <c r="G159" s="93">
        <f>SUMIF($B$124:$B$157,"ปริญญาโท",G124:G157)</f>
        <v>296</v>
      </c>
      <c r="H159" s="248">
        <f>ROUND(G159/12,2)</f>
        <v>24.67</v>
      </c>
      <c r="I159" s="248">
        <f>H159*2</f>
        <v>49.34</v>
      </c>
      <c r="J159" s="249"/>
      <c r="K159" s="93">
        <f>SUMIF($B$124:$B$157,"ปริญญาโท",K124:K157)</f>
        <v>0</v>
      </c>
      <c r="L159" s="248">
        <f>ROUND(K159/12,2)</f>
        <v>0</v>
      </c>
      <c r="M159" s="248">
        <f>L159*2</f>
        <v>0</v>
      </c>
      <c r="N159" s="249"/>
      <c r="O159" s="253">
        <f t="shared" ref="O159:O160" si="96">SUMIF($C$3:$N$3,"SCH",C159:N159)</f>
        <v>627</v>
      </c>
      <c r="P159" s="254">
        <f t="shared" ref="P159:P160" si="97">ROUND(O159/24,2)</f>
        <v>26.13</v>
      </c>
      <c r="Q159" s="254">
        <f t="shared" ref="Q159:Q160" si="98">P159*2</f>
        <v>52.26</v>
      </c>
      <c r="R159" s="255"/>
    </row>
    <row r="160" spans="1:18" ht="18.75" customHeight="1" thickBot="1" x14ac:dyDescent="0.4">
      <c r="A160" s="175" t="s">
        <v>22</v>
      </c>
      <c r="B160" s="152" t="s">
        <v>10</v>
      </c>
      <c r="C160" s="94">
        <f>SUMIF($B$124:$B$157,"ปริญญาเอก",C124:C157)</f>
        <v>61</v>
      </c>
      <c r="D160" s="256">
        <f>ROUND(C160/12,2)</f>
        <v>5.08</v>
      </c>
      <c r="E160" s="256">
        <f>D160*2</f>
        <v>10.16</v>
      </c>
      <c r="F160" s="257"/>
      <c r="G160" s="94">
        <f>SUMIF($B$124:$B$157,"ปริญญาเอก",G124:G157)</f>
        <v>57</v>
      </c>
      <c r="H160" s="256">
        <f>ROUND(G160/12,2)</f>
        <v>4.75</v>
      </c>
      <c r="I160" s="256">
        <f>H160*2</f>
        <v>9.5</v>
      </c>
      <c r="J160" s="257"/>
      <c r="K160" s="94">
        <f>SUMIF($B$124:$B$157,"ปริญญาเอก",K124:K157)</f>
        <v>0</v>
      </c>
      <c r="L160" s="256">
        <f>ROUND(K160/12,2)</f>
        <v>0</v>
      </c>
      <c r="M160" s="256">
        <f>L160*2</f>
        <v>0</v>
      </c>
      <c r="N160" s="257"/>
      <c r="O160" s="259">
        <f t="shared" si="96"/>
        <v>118</v>
      </c>
      <c r="P160" s="260">
        <f t="shared" si="97"/>
        <v>4.92</v>
      </c>
      <c r="Q160" s="260">
        <f t="shared" si="98"/>
        <v>9.84</v>
      </c>
      <c r="R160" s="261"/>
    </row>
    <row r="161" spans="1:18" ht="18.75" customHeight="1" x14ac:dyDescent="0.35">
      <c r="A161" s="148" t="s">
        <v>54</v>
      </c>
      <c r="B161" s="150"/>
      <c r="C161" s="80"/>
      <c r="D161" s="28"/>
      <c r="E161" s="28"/>
      <c r="F161" s="29"/>
      <c r="G161" s="79"/>
      <c r="H161" s="28"/>
      <c r="I161" s="28"/>
      <c r="J161" s="29"/>
      <c r="K161" s="80"/>
      <c r="L161" s="28"/>
      <c r="M161" s="28"/>
      <c r="N161" s="29"/>
      <c r="O161" s="66"/>
      <c r="P161" s="30"/>
      <c r="Q161" s="30"/>
      <c r="R161" s="31"/>
    </row>
    <row r="162" spans="1:18" ht="18.75" customHeight="1" x14ac:dyDescent="0.35">
      <c r="A162" s="145" t="s">
        <v>7</v>
      </c>
      <c r="B162" s="145" t="s">
        <v>8</v>
      </c>
      <c r="C162" s="82">
        <f>5780+2595+2168+2297.48</f>
        <v>12840.48</v>
      </c>
      <c r="D162" s="20">
        <f>ROUND(C162/18,2)</f>
        <v>713.36</v>
      </c>
      <c r="E162" s="20"/>
      <c r="F162" s="21">
        <f>SUM(D162,E163:E164)</f>
        <v>724.28</v>
      </c>
      <c r="G162" s="81">
        <v>9149</v>
      </c>
      <c r="H162" s="20">
        <f>ROUND(G162/18,2)</f>
        <v>508.28</v>
      </c>
      <c r="I162" s="20"/>
      <c r="J162" s="21">
        <f>SUM(H162,I163:I164)</f>
        <v>524.28</v>
      </c>
      <c r="K162" s="82"/>
      <c r="L162" s="20">
        <f>ROUND(K162/18,2)</f>
        <v>0</v>
      </c>
      <c r="M162" s="20"/>
      <c r="N162" s="21">
        <f>SUM(L162,M163:M164)</f>
        <v>0</v>
      </c>
      <c r="O162" s="22">
        <f t="shared" ref="O162:O221" si="99">SUMIF($C$3:$N$3,"SCH",C162:N162)</f>
        <v>21989.48</v>
      </c>
      <c r="P162" s="22">
        <f>ROUND(O162/36,2)</f>
        <v>610.82000000000005</v>
      </c>
      <c r="Q162" s="22"/>
      <c r="R162" s="23">
        <f>SUM(P162,Q163:Q164)</f>
        <v>624.28000000000009</v>
      </c>
    </row>
    <row r="163" spans="1:18" ht="18.75" customHeight="1" x14ac:dyDescent="0.35">
      <c r="A163" s="163"/>
      <c r="B163" s="145" t="s">
        <v>9</v>
      </c>
      <c r="C163" s="82">
        <v>69</v>
      </c>
      <c r="D163" s="20">
        <f>ROUND(C163/12,2)</f>
        <v>5.75</v>
      </c>
      <c r="E163" s="20">
        <f>D163*1</f>
        <v>5.75</v>
      </c>
      <c r="F163" s="21"/>
      <c r="G163" s="81">
        <v>99</v>
      </c>
      <c r="H163" s="20">
        <f>ROUND(G163/12,2)</f>
        <v>8.25</v>
      </c>
      <c r="I163" s="20">
        <f>H163*1</f>
        <v>8.25</v>
      </c>
      <c r="J163" s="21"/>
      <c r="K163" s="82"/>
      <c r="L163" s="20">
        <f>ROUND(K163/12,2)</f>
        <v>0</v>
      </c>
      <c r="M163" s="20">
        <f>L163*1</f>
        <v>0</v>
      </c>
      <c r="N163" s="21"/>
      <c r="O163" s="22">
        <f t="shared" si="99"/>
        <v>168</v>
      </c>
      <c r="P163" s="22">
        <f t="shared" ref="P163:P164" si="100">ROUND(O163/24,2)</f>
        <v>7</v>
      </c>
      <c r="Q163" s="22">
        <f t="shared" ref="Q163:Q164" si="101">P163*1</f>
        <v>7</v>
      </c>
      <c r="R163" s="23"/>
    </row>
    <row r="164" spans="1:18" ht="18.75" customHeight="1" thickBot="1" x14ac:dyDescent="0.4">
      <c r="A164" s="164"/>
      <c r="B164" s="146" t="s">
        <v>10</v>
      </c>
      <c r="C164" s="84">
        <v>62</v>
      </c>
      <c r="D164" s="24">
        <f>ROUND(C164/12,2)</f>
        <v>5.17</v>
      </c>
      <c r="E164" s="24">
        <f>D164*1</f>
        <v>5.17</v>
      </c>
      <c r="F164" s="25"/>
      <c r="G164" s="83">
        <v>93</v>
      </c>
      <c r="H164" s="24">
        <f>ROUND(G164/12,2)</f>
        <v>7.75</v>
      </c>
      <c r="I164" s="24">
        <f>H164*1</f>
        <v>7.75</v>
      </c>
      <c r="J164" s="25"/>
      <c r="K164" s="84"/>
      <c r="L164" s="24">
        <f>ROUND(K164/12,2)</f>
        <v>0</v>
      </c>
      <c r="M164" s="24">
        <f>L164*1</f>
        <v>0</v>
      </c>
      <c r="N164" s="25"/>
      <c r="O164" s="92">
        <f t="shared" si="99"/>
        <v>155</v>
      </c>
      <c r="P164" s="26">
        <f t="shared" si="100"/>
        <v>6.46</v>
      </c>
      <c r="Q164" s="26">
        <f t="shared" si="101"/>
        <v>6.46</v>
      </c>
      <c r="R164" s="27"/>
    </row>
    <row r="165" spans="1:18" ht="18.75" customHeight="1" x14ac:dyDescent="0.35">
      <c r="A165" s="148" t="s">
        <v>55</v>
      </c>
      <c r="B165" s="149"/>
      <c r="C165" s="80"/>
      <c r="D165" s="28"/>
      <c r="E165" s="28"/>
      <c r="F165" s="29"/>
      <c r="G165" s="79"/>
      <c r="H165" s="28"/>
      <c r="I165" s="28"/>
      <c r="J165" s="29"/>
      <c r="K165" s="80"/>
      <c r="L165" s="28"/>
      <c r="M165" s="28"/>
      <c r="N165" s="29"/>
      <c r="O165" s="30"/>
      <c r="P165" s="30"/>
      <c r="Q165" s="30"/>
      <c r="R165" s="31"/>
    </row>
    <row r="166" spans="1:18" ht="18.75" customHeight="1" x14ac:dyDescent="0.35">
      <c r="A166" s="145" t="s">
        <v>56</v>
      </c>
      <c r="B166" s="145" t="s">
        <v>8</v>
      </c>
      <c r="C166" s="82">
        <v>4860</v>
      </c>
      <c r="D166" s="20">
        <f>ROUND(C166/18,2)</f>
        <v>270</v>
      </c>
      <c r="E166" s="20"/>
      <c r="F166" s="21">
        <f>SUM(D166,E167:E168)</f>
        <v>270</v>
      </c>
      <c r="G166" s="81">
        <f>5057+61</f>
        <v>5118</v>
      </c>
      <c r="H166" s="20">
        <f>ROUND(G166/18,2)</f>
        <v>284.33</v>
      </c>
      <c r="I166" s="20"/>
      <c r="J166" s="21">
        <f>SUM(H166,I167:I168)</f>
        <v>284.33</v>
      </c>
      <c r="K166" s="82">
        <f>217+1</f>
        <v>218</v>
      </c>
      <c r="L166" s="20">
        <f>ROUND(K166/18,2)</f>
        <v>12.11</v>
      </c>
      <c r="M166" s="20"/>
      <c r="N166" s="21">
        <f>SUM(L166,M167:M168)</f>
        <v>12.11</v>
      </c>
      <c r="O166" s="22">
        <f t="shared" si="99"/>
        <v>10196</v>
      </c>
      <c r="P166" s="22">
        <f>ROUND(O166/36,2)</f>
        <v>283.22000000000003</v>
      </c>
      <c r="Q166" s="22"/>
      <c r="R166" s="23">
        <f>SUM(P166,Q167:Q168)</f>
        <v>283.22000000000003</v>
      </c>
    </row>
    <row r="167" spans="1:18" ht="18.75" customHeight="1" x14ac:dyDescent="0.35">
      <c r="A167" s="145"/>
      <c r="B167" s="145" t="s">
        <v>9</v>
      </c>
      <c r="C167" s="82"/>
      <c r="D167" s="20">
        <f>ROUND(C167/12,2)</f>
        <v>0</v>
      </c>
      <c r="E167" s="20">
        <f>D167*2</f>
        <v>0</v>
      </c>
      <c r="F167" s="21"/>
      <c r="G167" s="81"/>
      <c r="H167" s="20">
        <f>ROUND(G167/12,2)</f>
        <v>0</v>
      </c>
      <c r="I167" s="20">
        <f>H167*2</f>
        <v>0</v>
      </c>
      <c r="J167" s="21"/>
      <c r="K167" s="82"/>
      <c r="L167" s="20">
        <f>ROUND(K167/12,2)</f>
        <v>0</v>
      </c>
      <c r="M167" s="20">
        <f>L167*2</f>
        <v>0</v>
      </c>
      <c r="N167" s="21"/>
      <c r="O167" s="22">
        <f t="shared" si="99"/>
        <v>0</v>
      </c>
      <c r="P167" s="22">
        <f t="shared" ref="P167:P168" si="102">ROUND(O167/24,2)</f>
        <v>0</v>
      </c>
      <c r="Q167" s="22">
        <f t="shared" ref="Q167:Q168" si="103">P167*2</f>
        <v>0</v>
      </c>
      <c r="R167" s="23"/>
    </row>
    <row r="168" spans="1:18" ht="18.75" customHeight="1" x14ac:dyDescent="0.35">
      <c r="A168" s="145"/>
      <c r="B168" s="145" t="s">
        <v>10</v>
      </c>
      <c r="C168" s="82"/>
      <c r="D168" s="20">
        <f>ROUND(C168/12,2)</f>
        <v>0</v>
      </c>
      <c r="E168" s="20">
        <f>D168*2</f>
        <v>0</v>
      </c>
      <c r="F168" s="21"/>
      <c r="G168" s="81"/>
      <c r="H168" s="20">
        <f>ROUND(G168/12,2)</f>
        <v>0</v>
      </c>
      <c r="I168" s="20">
        <f>H168*2</f>
        <v>0</v>
      </c>
      <c r="J168" s="21"/>
      <c r="K168" s="82"/>
      <c r="L168" s="20">
        <f>ROUND(K168/12,2)</f>
        <v>0</v>
      </c>
      <c r="M168" s="20">
        <f>L168*2</f>
        <v>0</v>
      </c>
      <c r="N168" s="21"/>
      <c r="O168" s="22">
        <f t="shared" si="99"/>
        <v>0</v>
      </c>
      <c r="P168" s="22">
        <f t="shared" si="102"/>
        <v>0</v>
      </c>
      <c r="Q168" s="22">
        <f t="shared" si="103"/>
        <v>0</v>
      </c>
      <c r="R168" s="23"/>
    </row>
    <row r="169" spans="1:18" ht="18.75" customHeight="1" x14ac:dyDescent="0.35">
      <c r="A169" s="145" t="s">
        <v>57</v>
      </c>
      <c r="B169" s="145" t="s">
        <v>8</v>
      </c>
      <c r="C169" s="82">
        <v>4601</v>
      </c>
      <c r="D169" s="20">
        <f>ROUND(C169/18,2)</f>
        <v>255.61</v>
      </c>
      <c r="E169" s="20"/>
      <c r="F169" s="21">
        <f>SUM(D169,E170:E171)</f>
        <v>271.45</v>
      </c>
      <c r="G169" s="81">
        <v>1666</v>
      </c>
      <c r="H169" s="20">
        <f>ROUND(G169/18,2)</f>
        <v>92.56</v>
      </c>
      <c r="I169" s="20"/>
      <c r="J169" s="21">
        <f>SUM(H169,I170:I171)</f>
        <v>115.4</v>
      </c>
      <c r="K169" s="82">
        <v>41</v>
      </c>
      <c r="L169" s="20">
        <f>ROUND(K169/18,2)</f>
        <v>2.2799999999999998</v>
      </c>
      <c r="M169" s="20"/>
      <c r="N169" s="21">
        <f>SUM(L169,M170:M171)</f>
        <v>2.2799999999999998</v>
      </c>
      <c r="O169" s="22">
        <f t="shared" si="99"/>
        <v>6308</v>
      </c>
      <c r="P169" s="22">
        <f>ROUND(O169/36,2)</f>
        <v>175.22</v>
      </c>
      <c r="Q169" s="22"/>
      <c r="R169" s="23">
        <f>SUM(P169,Q170:Q171)</f>
        <v>194.55999999999997</v>
      </c>
    </row>
    <row r="170" spans="1:18" ht="18.75" customHeight="1" x14ac:dyDescent="0.35">
      <c r="A170" s="145"/>
      <c r="B170" s="145" t="s">
        <v>9</v>
      </c>
      <c r="C170" s="82">
        <v>78</v>
      </c>
      <c r="D170" s="20">
        <f>ROUND(C170/12,2)</f>
        <v>6.5</v>
      </c>
      <c r="E170" s="20">
        <f>D170*2</f>
        <v>13</v>
      </c>
      <c r="F170" s="21"/>
      <c r="G170" s="81">
        <v>137</v>
      </c>
      <c r="H170" s="20">
        <f>ROUND(G170/12,2)</f>
        <v>11.42</v>
      </c>
      <c r="I170" s="20">
        <f>H170*2</f>
        <v>22.84</v>
      </c>
      <c r="J170" s="21"/>
      <c r="K170" s="82"/>
      <c r="L170" s="20">
        <f>ROUND(K170/12,2)</f>
        <v>0</v>
      </c>
      <c r="M170" s="20">
        <f>L170*2</f>
        <v>0</v>
      </c>
      <c r="N170" s="21"/>
      <c r="O170" s="22">
        <f t="shared" si="99"/>
        <v>215</v>
      </c>
      <c r="P170" s="22">
        <f t="shared" ref="P170:P171" si="104">ROUND(O170/24,2)</f>
        <v>8.9600000000000009</v>
      </c>
      <c r="Q170" s="22">
        <f t="shared" ref="Q170:Q171" si="105">P170*2</f>
        <v>17.920000000000002</v>
      </c>
      <c r="R170" s="23"/>
    </row>
    <row r="171" spans="1:18" ht="18.75" customHeight="1" x14ac:dyDescent="0.35">
      <c r="A171" s="145"/>
      <c r="B171" s="145" t="s">
        <v>10</v>
      </c>
      <c r="C171" s="82">
        <v>17</v>
      </c>
      <c r="D171" s="20">
        <f>ROUND(C171/12,2)</f>
        <v>1.42</v>
      </c>
      <c r="E171" s="20">
        <f>D171*2</f>
        <v>2.84</v>
      </c>
      <c r="F171" s="21"/>
      <c r="G171" s="81"/>
      <c r="H171" s="20">
        <f>ROUND(G171/12,2)</f>
        <v>0</v>
      </c>
      <c r="I171" s="20">
        <f>H171*2</f>
        <v>0</v>
      </c>
      <c r="J171" s="21"/>
      <c r="K171" s="82"/>
      <c r="L171" s="20">
        <f>ROUND(K171/12,2)</f>
        <v>0</v>
      </c>
      <c r="M171" s="20">
        <f>L171*2</f>
        <v>0</v>
      </c>
      <c r="N171" s="21"/>
      <c r="O171" s="22">
        <f t="shared" si="99"/>
        <v>17</v>
      </c>
      <c r="P171" s="22">
        <f t="shared" si="104"/>
        <v>0.71</v>
      </c>
      <c r="Q171" s="22">
        <f t="shared" si="105"/>
        <v>1.42</v>
      </c>
      <c r="R171" s="23"/>
    </row>
    <row r="172" spans="1:18" ht="18.75" customHeight="1" x14ac:dyDescent="0.35">
      <c r="A172" s="145" t="s">
        <v>58</v>
      </c>
      <c r="B172" s="145" t="s">
        <v>8</v>
      </c>
      <c r="C172" s="82">
        <v>6661</v>
      </c>
      <c r="D172" s="20">
        <f>ROUND(C172/18,2)</f>
        <v>370.06</v>
      </c>
      <c r="E172" s="20"/>
      <c r="F172" s="21">
        <f>SUM(D172,E173:E174)</f>
        <v>375.56</v>
      </c>
      <c r="G172" s="81">
        <v>6839</v>
      </c>
      <c r="H172" s="20">
        <f>ROUND(G172/18,2)</f>
        <v>379.94</v>
      </c>
      <c r="I172" s="20"/>
      <c r="J172" s="21">
        <f>SUM(H172,I173:I174)</f>
        <v>384.94</v>
      </c>
      <c r="K172" s="82">
        <v>60</v>
      </c>
      <c r="L172" s="20">
        <f>ROUND(K172/18,2)</f>
        <v>3.33</v>
      </c>
      <c r="M172" s="20"/>
      <c r="N172" s="21">
        <f>SUM(L172,M173:M174)</f>
        <v>3.33</v>
      </c>
      <c r="O172" s="22">
        <f t="shared" si="99"/>
        <v>13560</v>
      </c>
      <c r="P172" s="22">
        <f>ROUND(O172/36,2)</f>
        <v>376.67</v>
      </c>
      <c r="Q172" s="22"/>
      <c r="R172" s="23">
        <f>SUM(P172,Q173:Q174)</f>
        <v>381.93</v>
      </c>
    </row>
    <row r="173" spans="1:18" ht="18.75" customHeight="1" x14ac:dyDescent="0.35">
      <c r="A173" s="145"/>
      <c r="B173" s="145" t="s">
        <v>9</v>
      </c>
      <c r="C173" s="82"/>
      <c r="D173" s="20">
        <f>ROUND(C173/12,2)</f>
        <v>0</v>
      </c>
      <c r="E173" s="20">
        <f>D173*2</f>
        <v>0</v>
      </c>
      <c r="F173" s="21"/>
      <c r="G173" s="81"/>
      <c r="H173" s="20">
        <f>ROUND(G173/12,2)</f>
        <v>0</v>
      </c>
      <c r="I173" s="20">
        <f>H173*2</f>
        <v>0</v>
      </c>
      <c r="J173" s="21"/>
      <c r="K173" s="82"/>
      <c r="L173" s="20">
        <f>ROUND(K173/12,2)</f>
        <v>0</v>
      </c>
      <c r="M173" s="20">
        <f>L173*2</f>
        <v>0</v>
      </c>
      <c r="N173" s="21"/>
      <c r="O173" s="22">
        <f t="shared" si="99"/>
        <v>0</v>
      </c>
      <c r="P173" s="22">
        <f t="shared" ref="P173:P174" si="106">ROUND(O173/24,2)</f>
        <v>0</v>
      </c>
      <c r="Q173" s="22">
        <f t="shared" ref="Q173:Q174" si="107">P173*2</f>
        <v>0</v>
      </c>
      <c r="R173" s="23"/>
    </row>
    <row r="174" spans="1:18" ht="18.75" customHeight="1" x14ac:dyDescent="0.35">
      <c r="A174" s="145"/>
      <c r="B174" s="145" t="s">
        <v>10</v>
      </c>
      <c r="C174" s="82">
        <v>33</v>
      </c>
      <c r="D174" s="20">
        <f>ROUND(C174/12,2)</f>
        <v>2.75</v>
      </c>
      <c r="E174" s="20">
        <f>D174*2</f>
        <v>5.5</v>
      </c>
      <c r="F174" s="21"/>
      <c r="G174" s="81">
        <v>30</v>
      </c>
      <c r="H174" s="20">
        <f>ROUND(G174/12,2)</f>
        <v>2.5</v>
      </c>
      <c r="I174" s="20">
        <f>H174*2</f>
        <v>5</v>
      </c>
      <c r="J174" s="21"/>
      <c r="K174" s="82"/>
      <c r="L174" s="20">
        <f>ROUND(K174/12,2)</f>
        <v>0</v>
      </c>
      <c r="M174" s="20">
        <f>L174*2</f>
        <v>0</v>
      </c>
      <c r="N174" s="21"/>
      <c r="O174" s="22">
        <f t="shared" si="99"/>
        <v>63</v>
      </c>
      <c r="P174" s="22">
        <f t="shared" si="106"/>
        <v>2.63</v>
      </c>
      <c r="Q174" s="22">
        <f t="shared" si="107"/>
        <v>5.26</v>
      </c>
      <c r="R174" s="23"/>
    </row>
    <row r="175" spans="1:18" ht="18.75" customHeight="1" x14ac:dyDescent="0.35">
      <c r="A175" s="145" t="s">
        <v>59</v>
      </c>
      <c r="B175" s="145" t="s">
        <v>8</v>
      </c>
      <c r="C175" s="82">
        <f>4684+636</f>
        <v>5320</v>
      </c>
      <c r="D175" s="20">
        <f>ROUND(C175/18,2)</f>
        <v>295.56</v>
      </c>
      <c r="E175" s="20"/>
      <c r="F175" s="21">
        <f>SUM(D175,E176:E177)</f>
        <v>295.56</v>
      </c>
      <c r="G175" s="81">
        <v>8362</v>
      </c>
      <c r="H175" s="20">
        <f>ROUND(G175/18,2)</f>
        <v>464.56</v>
      </c>
      <c r="I175" s="20"/>
      <c r="J175" s="21">
        <f>SUM(H175,I176:I177)</f>
        <v>464.56</v>
      </c>
      <c r="K175" s="82">
        <v>775</v>
      </c>
      <c r="L175" s="20">
        <f>ROUND(K175/18,2)</f>
        <v>43.06</v>
      </c>
      <c r="M175" s="20"/>
      <c r="N175" s="21">
        <f>SUM(L175,M176:M177)</f>
        <v>43.06</v>
      </c>
      <c r="O175" s="22">
        <f t="shared" si="99"/>
        <v>14457</v>
      </c>
      <c r="P175" s="22">
        <f>ROUND(O175/36,2)</f>
        <v>401.58</v>
      </c>
      <c r="Q175" s="22"/>
      <c r="R175" s="23">
        <f>SUM(P175,Q176:Q177)</f>
        <v>401.58</v>
      </c>
    </row>
    <row r="176" spans="1:18" ht="18.75" customHeight="1" x14ac:dyDescent="0.35">
      <c r="A176" s="145"/>
      <c r="B176" s="145" t="s">
        <v>9</v>
      </c>
      <c r="C176" s="82"/>
      <c r="D176" s="20">
        <f>ROUND(C176/12,2)</f>
        <v>0</v>
      </c>
      <c r="E176" s="20">
        <f>D176*2</f>
        <v>0</v>
      </c>
      <c r="F176" s="21"/>
      <c r="G176" s="81"/>
      <c r="H176" s="20">
        <f>ROUND(G176/12,2)</f>
        <v>0</v>
      </c>
      <c r="I176" s="20">
        <f>H176*2</f>
        <v>0</v>
      </c>
      <c r="J176" s="21"/>
      <c r="K176" s="82"/>
      <c r="L176" s="20">
        <f>ROUND(K176/12,2)</f>
        <v>0</v>
      </c>
      <c r="M176" s="20">
        <f>L176*2</f>
        <v>0</v>
      </c>
      <c r="N176" s="21"/>
      <c r="O176" s="22">
        <f t="shared" si="99"/>
        <v>0</v>
      </c>
      <c r="P176" s="22">
        <f t="shared" ref="P176:P177" si="108">ROUND(O176/24,2)</f>
        <v>0</v>
      </c>
      <c r="Q176" s="22">
        <f t="shared" ref="Q176:Q177" si="109">P176*2</f>
        <v>0</v>
      </c>
      <c r="R176" s="23"/>
    </row>
    <row r="177" spans="1:19" ht="18.75" customHeight="1" x14ac:dyDescent="0.35">
      <c r="A177" s="145"/>
      <c r="B177" s="145" t="s">
        <v>10</v>
      </c>
      <c r="C177" s="82"/>
      <c r="D177" s="20">
        <f>ROUND(C177/12,2)</f>
        <v>0</v>
      </c>
      <c r="E177" s="20">
        <f>D177*2</f>
        <v>0</v>
      </c>
      <c r="F177" s="21"/>
      <c r="G177" s="81"/>
      <c r="H177" s="20">
        <f>ROUND(G177/12,2)</f>
        <v>0</v>
      </c>
      <c r="I177" s="20">
        <f>H177*2</f>
        <v>0</v>
      </c>
      <c r="J177" s="21"/>
      <c r="K177" s="82"/>
      <c r="L177" s="20">
        <f>ROUND(K177/12,2)</f>
        <v>0</v>
      </c>
      <c r="M177" s="20">
        <f>L177*2</f>
        <v>0</v>
      </c>
      <c r="N177" s="21"/>
      <c r="O177" s="22">
        <f t="shared" si="99"/>
        <v>0</v>
      </c>
      <c r="P177" s="22">
        <f t="shared" si="108"/>
        <v>0</v>
      </c>
      <c r="Q177" s="22">
        <f t="shared" si="109"/>
        <v>0</v>
      </c>
      <c r="R177" s="23"/>
    </row>
    <row r="178" spans="1:19" ht="18.75" customHeight="1" x14ac:dyDescent="0.35">
      <c r="A178" s="145" t="s">
        <v>60</v>
      </c>
      <c r="B178" s="145" t="s">
        <v>8</v>
      </c>
      <c r="C178" s="82">
        <v>6035</v>
      </c>
      <c r="D178" s="20">
        <f>ROUND(C178/18,2)</f>
        <v>335.28</v>
      </c>
      <c r="E178" s="20"/>
      <c r="F178" s="21">
        <f>SUM(D178,E179:E180)</f>
        <v>371.78</v>
      </c>
      <c r="G178" s="81">
        <v>5864</v>
      </c>
      <c r="H178" s="20">
        <f>ROUND(G178/18,2)</f>
        <v>325.77999999999997</v>
      </c>
      <c r="I178" s="20"/>
      <c r="J178" s="21">
        <f>SUM(H178,I179:I180)</f>
        <v>346.11999999999995</v>
      </c>
      <c r="K178" s="82">
        <v>111</v>
      </c>
      <c r="L178" s="20">
        <f>ROUND(K178/18,2)</f>
        <v>6.17</v>
      </c>
      <c r="M178" s="20"/>
      <c r="N178" s="21">
        <f>SUM(L178,M179:M180)</f>
        <v>6.17</v>
      </c>
      <c r="O178" s="22">
        <f t="shared" si="99"/>
        <v>12010</v>
      </c>
      <c r="P178" s="22">
        <f>ROUND(O178/36,2)</f>
        <v>333.61</v>
      </c>
      <c r="Q178" s="22"/>
      <c r="R178" s="23">
        <f>SUM(P178,Q179:Q180)</f>
        <v>362.03000000000003</v>
      </c>
    </row>
    <row r="179" spans="1:19" ht="18.75" customHeight="1" x14ac:dyDescent="0.35">
      <c r="A179" s="145"/>
      <c r="B179" s="145" t="s">
        <v>9</v>
      </c>
      <c r="C179" s="82">
        <v>157</v>
      </c>
      <c r="D179" s="20">
        <f>ROUND(C179/12,2)</f>
        <v>13.08</v>
      </c>
      <c r="E179" s="20">
        <f>D179*2</f>
        <v>26.16</v>
      </c>
      <c r="F179" s="21"/>
      <c r="G179" s="81">
        <v>77</v>
      </c>
      <c r="H179" s="20">
        <f>ROUND(G179/12,2)</f>
        <v>6.42</v>
      </c>
      <c r="I179" s="20">
        <f>H179*2</f>
        <v>12.84</v>
      </c>
      <c r="J179" s="21"/>
      <c r="K179" s="82"/>
      <c r="L179" s="20">
        <f>ROUND(K179/12,2)</f>
        <v>0</v>
      </c>
      <c r="M179" s="20">
        <f>L179*2</f>
        <v>0</v>
      </c>
      <c r="N179" s="21"/>
      <c r="O179" s="22">
        <f t="shared" si="99"/>
        <v>234</v>
      </c>
      <c r="P179" s="22">
        <f t="shared" ref="P179:P180" si="110">ROUND(O179/24,2)</f>
        <v>9.75</v>
      </c>
      <c r="Q179" s="22">
        <f t="shared" ref="Q179:Q180" si="111">P179*2</f>
        <v>19.5</v>
      </c>
      <c r="R179" s="23"/>
    </row>
    <row r="180" spans="1:19" ht="18.75" customHeight="1" x14ac:dyDescent="0.35">
      <c r="A180" s="145"/>
      <c r="B180" s="145" t="s">
        <v>10</v>
      </c>
      <c r="C180" s="82">
        <v>62</v>
      </c>
      <c r="D180" s="20">
        <f>ROUND(C180/12,2)</f>
        <v>5.17</v>
      </c>
      <c r="E180" s="20">
        <f>D180*2</f>
        <v>10.34</v>
      </c>
      <c r="F180" s="21"/>
      <c r="G180" s="81">
        <v>45</v>
      </c>
      <c r="H180" s="20">
        <f>ROUND(G180/12,2)</f>
        <v>3.75</v>
      </c>
      <c r="I180" s="20">
        <f>H180*2</f>
        <v>7.5</v>
      </c>
      <c r="J180" s="21"/>
      <c r="K180" s="82"/>
      <c r="L180" s="20">
        <f>ROUND(K180/12,2)</f>
        <v>0</v>
      </c>
      <c r="M180" s="20">
        <f>L180*2</f>
        <v>0</v>
      </c>
      <c r="N180" s="21"/>
      <c r="O180" s="22">
        <f t="shared" si="99"/>
        <v>107</v>
      </c>
      <c r="P180" s="22">
        <f t="shared" si="110"/>
        <v>4.46</v>
      </c>
      <c r="Q180" s="22">
        <f t="shared" si="111"/>
        <v>8.92</v>
      </c>
      <c r="R180" s="23"/>
    </row>
    <row r="181" spans="1:19" ht="18.75" customHeight="1" x14ac:dyDescent="0.35">
      <c r="A181" s="145" t="s">
        <v>61</v>
      </c>
      <c r="B181" s="145" t="s">
        <v>8</v>
      </c>
      <c r="C181" s="82">
        <v>1737</v>
      </c>
      <c r="D181" s="20">
        <f>ROUND(C181/18,2)</f>
        <v>96.5</v>
      </c>
      <c r="E181" s="20"/>
      <c r="F181" s="21">
        <f>SUM(D181,E182:E183)</f>
        <v>96.5</v>
      </c>
      <c r="G181" s="81">
        <v>2860</v>
      </c>
      <c r="H181" s="20">
        <f>ROUND(G181/18,2)</f>
        <v>158.88999999999999</v>
      </c>
      <c r="I181" s="20"/>
      <c r="J181" s="21">
        <f>SUM(H181,I182:I183)</f>
        <v>158.88999999999999</v>
      </c>
      <c r="K181" s="82">
        <v>89</v>
      </c>
      <c r="L181" s="20">
        <f>ROUND(K181/18,2)</f>
        <v>4.9400000000000004</v>
      </c>
      <c r="M181" s="20"/>
      <c r="N181" s="21">
        <f>SUM(L181,M182:M183)</f>
        <v>4.9400000000000004</v>
      </c>
      <c r="O181" s="22">
        <f t="shared" si="99"/>
        <v>4686</v>
      </c>
      <c r="P181" s="22">
        <f>ROUND(O181/36,2)</f>
        <v>130.16999999999999</v>
      </c>
      <c r="Q181" s="22"/>
      <c r="R181" s="23">
        <f>SUM(P181,Q182:Q183)</f>
        <v>130.16999999999999</v>
      </c>
    </row>
    <row r="182" spans="1:19" ht="18.75" customHeight="1" x14ac:dyDescent="0.35">
      <c r="A182" s="145"/>
      <c r="B182" s="145" t="s">
        <v>9</v>
      </c>
      <c r="C182" s="82"/>
      <c r="D182" s="20">
        <f>ROUND(C182/12,2)</f>
        <v>0</v>
      </c>
      <c r="E182" s="20">
        <f>D182*2</f>
        <v>0</v>
      </c>
      <c r="F182" s="21"/>
      <c r="G182" s="81"/>
      <c r="H182" s="20">
        <f>ROUND(G182/12,2)</f>
        <v>0</v>
      </c>
      <c r="I182" s="20">
        <f>H182*2</f>
        <v>0</v>
      </c>
      <c r="J182" s="21"/>
      <c r="K182" s="82"/>
      <c r="L182" s="20">
        <f>ROUND(K182/12,2)</f>
        <v>0</v>
      </c>
      <c r="M182" s="20">
        <f>L182*2</f>
        <v>0</v>
      </c>
      <c r="N182" s="21"/>
      <c r="O182" s="22">
        <f t="shared" si="99"/>
        <v>0</v>
      </c>
      <c r="P182" s="22">
        <f t="shared" ref="P182:P183" si="112">ROUND(O182/24,2)</f>
        <v>0</v>
      </c>
      <c r="Q182" s="22">
        <f t="shared" ref="Q182:Q183" si="113">P182*2</f>
        <v>0</v>
      </c>
      <c r="R182" s="23"/>
    </row>
    <row r="183" spans="1:19" ht="18.75" customHeight="1" x14ac:dyDescent="0.35">
      <c r="A183" s="145"/>
      <c r="B183" s="145" t="s">
        <v>10</v>
      </c>
      <c r="C183" s="82"/>
      <c r="D183" s="20">
        <f>ROUND(C183/12,2)</f>
        <v>0</v>
      </c>
      <c r="E183" s="20">
        <f>D183*2</f>
        <v>0</v>
      </c>
      <c r="F183" s="21"/>
      <c r="G183" s="81"/>
      <c r="H183" s="20">
        <f>ROUND(G183/12,2)</f>
        <v>0</v>
      </c>
      <c r="I183" s="20">
        <f>H183*2</f>
        <v>0</v>
      </c>
      <c r="J183" s="21"/>
      <c r="K183" s="82"/>
      <c r="L183" s="20">
        <f>ROUND(K183/12,2)</f>
        <v>0</v>
      </c>
      <c r="M183" s="20">
        <f>L183*2</f>
        <v>0</v>
      </c>
      <c r="N183" s="21"/>
      <c r="O183" s="22">
        <f t="shared" si="99"/>
        <v>0</v>
      </c>
      <c r="P183" s="22">
        <f t="shared" si="112"/>
        <v>0</v>
      </c>
      <c r="Q183" s="22">
        <f t="shared" si="113"/>
        <v>0</v>
      </c>
      <c r="R183" s="23"/>
    </row>
    <row r="184" spans="1:19" ht="18.75" customHeight="1" x14ac:dyDescent="0.35">
      <c r="A184" s="173" t="s">
        <v>22</v>
      </c>
      <c r="B184" s="151" t="s">
        <v>8</v>
      </c>
      <c r="C184" s="93">
        <f>SUMIF($B$165:$B$183,"ปริญญาตรี",C165:C183)</f>
        <v>29214</v>
      </c>
      <c r="D184" s="248">
        <f>ROUND(C184/18,2)</f>
        <v>1623</v>
      </c>
      <c r="E184" s="248"/>
      <c r="F184" s="249">
        <f>SUM(D184,E185:E186)</f>
        <v>1680.8200000000002</v>
      </c>
      <c r="G184" s="250">
        <f>SUMIF($B$165:$B$183,"ปริญญาตรี",G165:G183)</f>
        <v>30709</v>
      </c>
      <c r="H184" s="248">
        <f>ROUND(G184/18,2)</f>
        <v>1706.06</v>
      </c>
      <c r="I184" s="248"/>
      <c r="J184" s="249">
        <f>SUM(H184,I185:I186)</f>
        <v>1754.22</v>
      </c>
      <c r="K184" s="250">
        <f>SUMIF($B$165:$B$183,"ปริญญาตรี",K165:K183)</f>
        <v>1294</v>
      </c>
      <c r="L184" s="248">
        <f>ROUND(K184/18,2)</f>
        <v>71.89</v>
      </c>
      <c r="M184" s="248"/>
      <c r="N184" s="249">
        <f>SUM(L184,M185:M186)</f>
        <v>71.89</v>
      </c>
      <c r="O184" s="253">
        <f t="shared" si="99"/>
        <v>61217</v>
      </c>
      <c r="P184" s="254">
        <f>ROUND(O184/36,2)</f>
        <v>1700.47</v>
      </c>
      <c r="Q184" s="254"/>
      <c r="R184" s="255">
        <f>SUM(P184,Q185:Q186)</f>
        <v>1753.47</v>
      </c>
    </row>
    <row r="185" spans="1:19" ht="18.75" customHeight="1" x14ac:dyDescent="0.35">
      <c r="A185" s="174" t="s">
        <v>22</v>
      </c>
      <c r="B185" s="151" t="s">
        <v>9</v>
      </c>
      <c r="C185" s="93">
        <f>SUMIF($B$165:$B$183,"ปริญญาโท",C165:C183)</f>
        <v>235</v>
      </c>
      <c r="D185" s="248">
        <f>ROUND(C185/12,2)</f>
        <v>19.579999999999998</v>
      </c>
      <c r="E185" s="248">
        <f>D185*2</f>
        <v>39.159999999999997</v>
      </c>
      <c r="F185" s="249"/>
      <c r="G185" s="250">
        <f>SUMIF($B$165:$B$183,"ปริญญาโท",G165:G183)</f>
        <v>214</v>
      </c>
      <c r="H185" s="248">
        <f>ROUND(G185/12,2)</f>
        <v>17.829999999999998</v>
      </c>
      <c r="I185" s="248">
        <f>H185*2</f>
        <v>35.659999999999997</v>
      </c>
      <c r="J185" s="249"/>
      <c r="K185" s="250">
        <f>SUMIF($B$165:$B$183,"ปริญญาโท",K165:K183)</f>
        <v>0</v>
      </c>
      <c r="L185" s="248">
        <f>ROUND(K185/12,2)</f>
        <v>0</v>
      </c>
      <c r="M185" s="248">
        <f>L185*2</f>
        <v>0</v>
      </c>
      <c r="N185" s="249"/>
      <c r="O185" s="253">
        <f t="shared" si="99"/>
        <v>449</v>
      </c>
      <c r="P185" s="254">
        <f t="shared" ref="P185:P186" si="114">ROUND(O185/24,2)</f>
        <v>18.71</v>
      </c>
      <c r="Q185" s="254">
        <f t="shared" ref="Q185:Q186" si="115">P185*2</f>
        <v>37.42</v>
      </c>
      <c r="R185" s="255"/>
    </row>
    <row r="186" spans="1:19" ht="18.75" customHeight="1" thickBot="1" x14ac:dyDescent="0.4">
      <c r="A186" s="175" t="s">
        <v>22</v>
      </c>
      <c r="B186" s="152" t="s">
        <v>10</v>
      </c>
      <c r="C186" s="94">
        <f>SUMIF($B$165:$B$183,"ปริญญาเอก",C165:C183)</f>
        <v>112</v>
      </c>
      <c r="D186" s="256">
        <f>ROUND(C186/12,2)</f>
        <v>9.33</v>
      </c>
      <c r="E186" s="256">
        <f>D186*2</f>
        <v>18.66</v>
      </c>
      <c r="F186" s="257"/>
      <c r="G186" s="258">
        <f>SUMIF($B$165:$B$183,"ปริญญาเอก",G165:G183)</f>
        <v>75</v>
      </c>
      <c r="H186" s="256">
        <f>ROUND(G186/12,2)</f>
        <v>6.25</v>
      </c>
      <c r="I186" s="256">
        <f>H186*2</f>
        <v>12.5</v>
      </c>
      <c r="J186" s="257"/>
      <c r="K186" s="258">
        <f>SUMIF($B$165:$B$183,"ปริญญาเอก",K165:K183)</f>
        <v>0</v>
      </c>
      <c r="L186" s="256">
        <f>ROUND(K186/12,2)</f>
        <v>0</v>
      </c>
      <c r="M186" s="256">
        <f>L186*2</f>
        <v>0</v>
      </c>
      <c r="N186" s="257"/>
      <c r="O186" s="259">
        <f t="shared" si="99"/>
        <v>187</v>
      </c>
      <c r="P186" s="260">
        <f t="shared" si="114"/>
        <v>7.79</v>
      </c>
      <c r="Q186" s="260">
        <f t="shared" si="115"/>
        <v>15.58</v>
      </c>
      <c r="R186" s="261"/>
    </row>
    <row r="187" spans="1:19" ht="18.75" customHeight="1" x14ac:dyDescent="0.35">
      <c r="A187" s="148" t="s">
        <v>62</v>
      </c>
      <c r="B187" s="149"/>
      <c r="C187" s="80"/>
      <c r="D187" s="28"/>
      <c r="E187" s="28"/>
      <c r="F187" s="29"/>
      <c r="G187" s="79"/>
      <c r="H187" s="28"/>
      <c r="I187" s="28"/>
      <c r="J187" s="29"/>
      <c r="K187" s="80"/>
      <c r="L187" s="28"/>
      <c r="M187" s="28"/>
      <c r="N187" s="29"/>
      <c r="O187" s="66"/>
      <c r="P187" s="30"/>
      <c r="Q187" s="30"/>
      <c r="R187" s="31"/>
    </row>
    <row r="188" spans="1:19" ht="18.75" customHeight="1" x14ac:dyDescent="0.35">
      <c r="A188" s="145" t="s">
        <v>7</v>
      </c>
      <c r="B188" s="145" t="s">
        <v>8</v>
      </c>
      <c r="C188" s="82">
        <f>7475+512.05</f>
        <v>7987.05</v>
      </c>
      <c r="D188" s="20">
        <f>ROUND(C188/18,2)</f>
        <v>443.73</v>
      </c>
      <c r="E188" s="20"/>
      <c r="F188" s="21">
        <f>SUM(D188,E189:E190)</f>
        <v>530.13</v>
      </c>
      <c r="G188" s="81">
        <v>8125</v>
      </c>
      <c r="H188" s="20">
        <f>ROUND(G188/18,2)</f>
        <v>451.39</v>
      </c>
      <c r="I188" s="20"/>
      <c r="J188" s="21">
        <f>SUM(H188,I189:I190)</f>
        <v>571.09</v>
      </c>
      <c r="K188" s="82"/>
      <c r="L188" s="20">
        <f>ROUND(K188/18,2)</f>
        <v>0</v>
      </c>
      <c r="M188" s="20"/>
      <c r="N188" s="21">
        <f>SUM(L188,M189:M190)</f>
        <v>0</v>
      </c>
      <c r="O188" s="22">
        <f t="shared" si="99"/>
        <v>16112.05</v>
      </c>
      <c r="P188" s="22">
        <f>ROUND(O188/36,2)</f>
        <v>447.56</v>
      </c>
      <c r="Q188" s="22"/>
      <c r="R188" s="23">
        <f>SUM(P188,Q189:Q190)</f>
        <v>550.62800000000004</v>
      </c>
    </row>
    <row r="189" spans="1:19" ht="18.75" customHeight="1" x14ac:dyDescent="0.35">
      <c r="A189" s="176"/>
      <c r="B189" s="145" t="s">
        <v>9</v>
      </c>
      <c r="C189" s="82">
        <v>33</v>
      </c>
      <c r="D189" s="20">
        <f>ROUND(C189/12,2)</f>
        <v>2.75</v>
      </c>
      <c r="E189" s="20">
        <f>D189*1.8</f>
        <v>4.95</v>
      </c>
      <c r="F189" s="21"/>
      <c r="G189" s="81">
        <v>102</v>
      </c>
      <c r="H189" s="20">
        <f>ROUND(G189/12,2)</f>
        <v>8.5</v>
      </c>
      <c r="I189" s="20">
        <f>H189*1.8</f>
        <v>15.3</v>
      </c>
      <c r="J189" s="21"/>
      <c r="K189" s="82"/>
      <c r="L189" s="20">
        <f>ROUND(K189/12,2)</f>
        <v>0</v>
      </c>
      <c r="M189" s="20">
        <f>L189*1.8</f>
        <v>0</v>
      </c>
      <c r="N189" s="21"/>
      <c r="O189" s="22">
        <f t="shared" si="99"/>
        <v>135</v>
      </c>
      <c r="P189" s="22">
        <f t="shared" ref="P189:P190" si="116">ROUND(O189/24,2)</f>
        <v>5.63</v>
      </c>
      <c r="Q189" s="22">
        <f t="shared" ref="Q189:Q190" si="117">P189*1.8</f>
        <v>10.134</v>
      </c>
      <c r="R189" s="23"/>
    </row>
    <row r="190" spans="1:19" ht="18.75" customHeight="1" thickBot="1" x14ac:dyDescent="0.4">
      <c r="A190" s="164"/>
      <c r="B190" s="146" t="s">
        <v>10</v>
      </c>
      <c r="C190" s="84">
        <f>351+192</f>
        <v>543</v>
      </c>
      <c r="D190" s="24">
        <f>ROUND(C190/12,2)</f>
        <v>45.25</v>
      </c>
      <c r="E190" s="24">
        <f>D190*1.8</f>
        <v>81.45</v>
      </c>
      <c r="F190" s="25"/>
      <c r="G190" s="83">
        <v>696</v>
      </c>
      <c r="H190" s="24">
        <f>ROUND(G190/12,2)</f>
        <v>58</v>
      </c>
      <c r="I190" s="24">
        <f>H190*1.8</f>
        <v>104.4</v>
      </c>
      <c r="J190" s="25"/>
      <c r="K190" s="84"/>
      <c r="L190" s="24">
        <f>ROUND(K190/12,2)</f>
        <v>0</v>
      </c>
      <c r="M190" s="24">
        <f>L190*1.8</f>
        <v>0</v>
      </c>
      <c r="N190" s="25"/>
      <c r="O190" s="92">
        <f t="shared" si="99"/>
        <v>1239</v>
      </c>
      <c r="P190" s="26">
        <f t="shared" si="116"/>
        <v>51.63</v>
      </c>
      <c r="Q190" s="26">
        <f t="shared" si="117"/>
        <v>92.934000000000012</v>
      </c>
      <c r="R190" s="27"/>
    </row>
    <row r="191" spans="1:19" ht="18.75" customHeight="1" x14ac:dyDescent="0.35">
      <c r="A191" s="148" t="s">
        <v>63</v>
      </c>
      <c r="B191" s="149"/>
      <c r="C191" s="80"/>
      <c r="D191" s="28"/>
      <c r="E191" s="28"/>
      <c r="F191" s="29"/>
      <c r="G191" s="79"/>
      <c r="H191" s="28"/>
      <c r="I191" s="28"/>
      <c r="J191" s="29"/>
      <c r="K191" s="80"/>
      <c r="L191" s="28"/>
      <c r="M191" s="28"/>
      <c r="N191" s="29"/>
      <c r="O191" s="30"/>
      <c r="P191" s="30"/>
      <c r="Q191" s="30"/>
      <c r="R191" s="31"/>
      <c r="S191" s="67"/>
    </row>
    <row r="192" spans="1:19" ht="18.75" customHeight="1" x14ac:dyDescent="0.35">
      <c r="A192" s="153" t="s">
        <v>7</v>
      </c>
      <c r="B192" s="153" t="s">
        <v>8</v>
      </c>
      <c r="C192" s="82"/>
      <c r="D192" s="20">
        <f>ROUND(C192/18,2)</f>
        <v>0</v>
      </c>
      <c r="E192" s="20"/>
      <c r="F192" s="21">
        <f>SUM(D192,E193:E195)</f>
        <v>0</v>
      </c>
      <c r="G192" s="276">
        <v>1851</v>
      </c>
      <c r="H192" s="20">
        <f>ROUND(G192/18,2)</f>
        <v>102.83</v>
      </c>
      <c r="I192" s="20"/>
      <c r="J192" s="21">
        <f>SUM(H192,I193:I195)</f>
        <v>102.83</v>
      </c>
      <c r="K192" s="82">
        <v>2</v>
      </c>
      <c r="L192" s="20">
        <f>ROUND(K192/18,2)</f>
        <v>0.11</v>
      </c>
      <c r="M192" s="20"/>
      <c r="N192" s="21">
        <f>SUM(L192,M193:M195)</f>
        <v>0.11</v>
      </c>
      <c r="O192" s="22">
        <f t="shared" si="99"/>
        <v>1853</v>
      </c>
      <c r="P192" s="22">
        <f>ROUND(O192/36,2)</f>
        <v>51.47</v>
      </c>
      <c r="Q192" s="22"/>
      <c r="R192" s="23">
        <f>SUM(P192,Q193:Q195)</f>
        <v>51.47</v>
      </c>
    </row>
    <row r="193" spans="1:18" ht="18.75" customHeight="1" x14ac:dyDescent="0.35">
      <c r="A193" s="172"/>
      <c r="B193" s="145" t="s">
        <v>64</v>
      </c>
      <c r="C193" s="82"/>
      <c r="D193" s="20">
        <f>ROUND(C193/12,2)</f>
        <v>0</v>
      </c>
      <c r="E193" s="20">
        <f>D193*1.5</f>
        <v>0</v>
      </c>
      <c r="F193" s="21"/>
      <c r="G193" s="276">
        <v>0</v>
      </c>
      <c r="H193" s="20">
        <f>ROUND(G193/12,2)</f>
        <v>0</v>
      </c>
      <c r="I193" s="20">
        <f>H193*1.5</f>
        <v>0</v>
      </c>
      <c r="J193" s="21"/>
      <c r="K193" s="82">
        <v>0</v>
      </c>
      <c r="L193" s="20">
        <f>ROUND(K193/12,2)</f>
        <v>0</v>
      </c>
      <c r="M193" s="20">
        <f>L193*1.5</f>
        <v>0</v>
      </c>
      <c r="N193" s="21"/>
      <c r="O193" s="22">
        <f t="shared" si="99"/>
        <v>0</v>
      </c>
      <c r="P193" s="22">
        <f>ROUND(O193/24,2)</f>
        <v>0</v>
      </c>
      <c r="Q193" s="22">
        <f>P193*1.5</f>
        <v>0</v>
      </c>
      <c r="R193" s="23"/>
    </row>
    <row r="194" spans="1:18" ht="18.75" customHeight="1" x14ac:dyDescent="0.35">
      <c r="A194" s="145"/>
      <c r="B194" s="145" t="s">
        <v>9</v>
      </c>
      <c r="C194" s="82"/>
      <c r="D194" s="20">
        <f>ROUND(C194/12,2)</f>
        <v>0</v>
      </c>
      <c r="E194" s="20">
        <f>D194*1.5</f>
        <v>0</v>
      </c>
      <c r="F194" s="21"/>
      <c r="G194" s="276">
        <v>0</v>
      </c>
      <c r="H194" s="20">
        <f>ROUND(G194/12,2)</f>
        <v>0</v>
      </c>
      <c r="I194" s="20">
        <f>H194*1.5</f>
        <v>0</v>
      </c>
      <c r="J194" s="21"/>
      <c r="K194" s="82">
        <v>0</v>
      </c>
      <c r="L194" s="20">
        <f>ROUND(K194/12,2)</f>
        <v>0</v>
      </c>
      <c r="M194" s="20">
        <f>L194*1.5</f>
        <v>0</v>
      </c>
      <c r="N194" s="21"/>
      <c r="O194" s="22">
        <f t="shared" si="99"/>
        <v>0</v>
      </c>
      <c r="P194" s="22">
        <f>ROUND(O194/24,2)</f>
        <v>0</v>
      </c>
      <c r="Q194" s="22">
        <f>P194*1.5</f>
        <v>0</v>
      </c>
      <c r="R194" s="23"/>
    </row>
    <row r="195" spans="1:18" ht="18.75" customHeight="1" x14ac:dyDescent="0.35">
      <c r="A195" s="145"/>
      <c r="B195" s="145" t="s">
        <v>10</v>
      </c>
      <c r="C195" s="82"/>
      <c r="D195" s="20">
        <f>ROUND(C195/12,2)</f>
        <v>0</v>
      </c>
      <c r="E195" s="20">
        <f>D195*1.5</f>
        <v>0</v>
      </c>
      <c r="F195" s="21"/>
      <c r="G195" s="276">
        <v>0</v>
      </c>
      <c r="H195" s="20">
        <f>ROUND(G195/12,2)</f>
        <v>0</v>
      </c>
      <c r="I195" s="20">
        <f>H195*1.5</f>
        <v>0</v>
      </c>
      <c r="J195" s="21"/>
      <c r="K195" s="82">
        <v>0</v>
      </c>
      <c r="L195" s="20">
        <f>ROUND(K195/12,2)</f>
        <v>0</v>
      </c>
      <c r="M195" s="20">
        <f>L195*1.5</f>
        <v>0</v>
      </c>
      <c r="N195" s="21"/>
      <c r="O195" s="22">
        <f t="shared" si="99"/>
        <v>0</v>
      </c>
      <c r="P195" s="22">
        <f>ROUND(O195/24,2)</f>
        <v>0</v>
      </c>
      <c r="Q195" s="22">
        <f>P195*1.5</f>
        <v>0</v>
      </c>
      <c r="R195" s="23"/>
    </row>
    <row r="196" spans="1:18" ht="18.75" customHeight="1" x14ac:dyDescent="0.35">
      <c r="A196" s="145" t="s">
        <v>65</v>
      </c>
      <c r="B196" s="145" t="s">
        <v>8</v>
      </c>
      <c r="C196" s="82"/>
      <c r="D196" s="20">
        <f>ROUND(C196/18,2)</f>
        <v>0</v>
      </c>
      <c r="E196" s="20"/>
      <c r="F196" s="21">
        <f>SUM(D196,E197:E199)</f>
        <v>0</v>
      </c>
      <c r="G196" s="276">
        <v>13075</v>
      </c>
      <c r="H196" s="20">
        <f>ROUND(G196/18,2)</f>
        <v>726.39</v>
      </c>
      <c r="I196" s="20"/>
      <c r="J196" s="21">
        <f>SUM(H196,I197:I199)</f>
        <v>762.51</v>
      </c>
      <c r="K196" s="82">
        <v>8</v>
      </c>
      <c r="L196" s="20">
        <f>ROUND(K196/18,2)</f>
        <v>0.44</v>
      </c>
      <c r="M196" s="20"/>
      <c r="N196" s="21">
        <f>SUM(L196,M197:M199)</f>
        <v>0.44</v>
      </c>
      <c r="O196" s="22">
        <f t="shared" si="99"/>
        <v>13083</v>
      </c>
      <c r="P196" s="22">
        <f>ROUND(O196/36,2)</f>
        <v>363.42</v>
      </c>
      <c r="Q196" s="22"/>
      <c r="R196" s="23">
        <f>SUM(P196,Q197:Q199)</f>
        <v>381.48</v>
      </c>
    </row>
    <row r="197" spans="1:18" ht="18.75" customHeight="1" x14ac:dyDescent="0.35">
      <c r="A197" s="145"/>
      <c r="B197" s="145" t="s">
        <v>64</v>
      </c>
      <c r="C197" s="82"/>
      <c r="D197" s="20">
        <f>ROUND(C197/12,2)</f>
        <v>0</v>
      </c>
      <c r="E197" s="20">
        <f>D197*1.5</f>
        <v>0</v>
      </c>
      <c r="F197" s="21"/>
      <c r="G197" s="276">
        <v>0</v>
      </c>
      <c r="H197" s="20">
        <f>ROUND(G197/12,2)</f>
        <v>0</v>
      </c>
      <c r="I197" s="20">
        <f>H197*1.5</f>
        <v>0</v>
      </c>
      <c r="J197" s="21"/>
      <c r="K197" s="82">
        <v>0</v>
      </c>
      <c r="L197" s="20">
        <f>ROUND(K197/12,2)</f>
        <v>0</v>
      </c>
      <c r="M197" s="20">
        <f>L197*1.5</f>
        <v>0</v>
      </c>
      <c r="N197" s="21"/>
      <c r="O197" s="22">
        <f t="shared" si="99"/>
        <v>0</v>
      </c>
      <c r="P197" s="22">
        <f t="shared" ref="P197:P199" si="118">ROUND(O197/24,2)</f>
        <v>0</v>
      </c>
      <c r="Q197" s="22">
        <f t="shared" ref="Q197:Q199" si="119">P197*1.5</f>
        <v>0</v>
      </c>
      <c r="R197" s="23"/>
    </row>
    <row r="198" spans="1:18" ht="18.75" customHeight="1" x14ac:dyDescent="0.35">
      <c r="A198" s="145"/>
      <c r="B198" s="145" t="s">
        <v>9</v>
      </c>
      <c r="C198" s="82"/>
      <c r="D198" s="20">
        <f>ROUND(C198/12,2)</f>
        <v>0</v>
      </c>
      <c r="E198" s="20">
        <f>D198*1.5</f>
        <v>0</v>
      </c>
      <c r="F198" s="21"/>
      <c r="G198" s="276">
        <v>271</v>
      </c>
      <c r="H198" s="20">
        <f>ROUND(G198/12,2)</f>
        <v>22.58</v>
      </c>
      <c r="I198" s="20">
        <f>H198*1.5</f>
        <v>33.869999999999997</v>
      </c>
      <c r="J198" s="21"/>
      <c r="K198" s="82">
        <v>0</v>
      </c>
      <c r="L198" s="20">
        <f>ROUND(K198/12,2)</f>
        <v>0</v>
      </c>
      <c r="M198" s="20">
        <f>L198*1.5</f>
        <v>0</v>
      </c>
      <c r="N198" s="21"/>
      <c r="O198" s="22">
        <f t="shared" si="99"/>
        <v>271</v>
      </c>
      <c r="P198" s="22">
        <f t="shared" si="118"/>
        <v>11.29</v>
      </c>
      <c r="Q198" s="22">
        <f t="shared" si="119"/>
        <v>16.934999999999999</v>
      </c>
      <c r="R198" s="23"/>
    </row>
    <row r="199" spans="1:18" ht="18.75" customHeight="1" x14ac:dyDescent="0.35">
      <c r="A199" s="145"/>
      <c r="B199" s="145" t="s">
        <v>10</v>
      </c>
      <c r="C199" s="82"/>
      <c r="D199" s="20">
        <f>ROUND(C199/12,2)</f>
        <v>0</v>
      </c>
      <c r="E199" s="20">
        <f>D199*1.5</f>
        <v>0</v>
      </c>
      <c r="F199" s="21"/>
      <c r="G199" s="276">
        <v>18</v>
      </c>
      <c r="H199" s="20">
        <f>ROUND(G199/12,2)</f>
        <v>1.5</v>
      </c>
      <c r="I199" s="20">
        <f>H199*1.5</f>
        <v>2.25</v>
      </c>
      <c r="J199" s="21"/>
      <c r="K199" s="82">
        <v>0</v>
      </c>
      <c r="L199" s="20">
        <f>ROUND(K199/12,2)</f>
        <v>0</v>
      </c>
      <c r="M199" s="20">
        <f>L199*1.5</f>
        <v>0</v>
      </c>
      <c r="N199" s="21"/>
      <c r="O199" s="22">
        <f t="shared" si="99"/>
        <v>18</v>
      </c>
      <c r="P199" s="22">
        <f t="shared" si="118"/>
        <v>0.75</v>
      </c>
      <c r="Q199" s="22">
        <f t="shared" si="119"/>
        <v>1.125</v>
      </c>
      <c r="R199" s="23"/>
    </row>
    <row r="200" spans="1:18" ht="18.75" customHeight="1" x14ac:dyDescent="0.35">
      <c r="A200" s="145" t="s">
        <v>66</v>
      </c>
      <c r="B200" s="145" t="s">
        <v>8</v>
      </c>
      <c r="C200" s="82"/>
      <c r="D200" s="20">
        <f>ROUND(C200/18,2)</f>
        <v>0</v>
      </c>
      <c r="E200" s="20"/>
      <c r="F200" s="21">
        <f>SUM(D200,E201:E203)</f>
        <v>0</v>
      </c>
      <c r="G200" s="276">
        <v>753</v>
      </c>
      <c r="H200" s="20">
        <f>ROUND(G200/18,2)</f>
        <v>41.83</v>
      </c>
      <c r="I200" s="20"/>
      <c r="J200" s="21">
        <f>SUM(H200,I201:I203)</f>
        <v>79.33</v>
      </c>
      <c r="K200" s="82">
        <v>0</v>
      </c>
      <c r="L200" s="20">
        <f>ROUND(K200/18,2)</f>
        <v>0</v>
      </c>
      <c r="M200" s="20"/>
      <c r="N200" s="21">
        <f>SUM(L200,M201:M203)</f>
        <v>1.875</v>
      </c>
      <c r="O200" s="22">
        <f t="shared" si="99"/>
        <v>753</v>
      </c>
      <c r="P200" s="22">
        <f>ROUND(O200/36,2)</f>
        <v>20.92</v>
      </c>
      <c r="Q200" s="22"/>
      <c r="R200" s="23">
        <f>SUM(P200,Q201:Q203)</f>
        <v>40.615000000000002</v>
      </c>
    </row>
    <row r="201" spans="1:18" ht="18.75" customHeight="1" x14ac:dyDescent="0.35">
      <c r="A201" s="145"/>
      <c r="B201" s="145" t="s">
        <v>64</v>
      </c>
      <c r="C201" s="82"/>
      <c r="D201" s="20">
        <f>ROUND(C201/12,2)</f>
        <v>0</v>
      </c>
      <c r="E201" s="20">
        <f>D201*1.5</f>
        <v>0</v>
      </c>
      <c r="F201" s="21"/>
      <c r="G201" s="276">
        <v>0</v>
      </c>
      <c r="H201" s="20">
        <f>ROUND(G201/12,2)</f>
        <v>0</v>
      </c>
      <c r="I201" s="20">
        <f>H201*1.5</f>
        <v>0</v>
      </c>
      <c r="J201" s="21"/>
      <c r="K201" s="82">
        <v>0</v>
      </c>
      <c r="L201" s="20">
        <f>ROUND(K201/12,2)</f>
        <v>0</v>
      </c>
      <c r="M201" s="20">
        <f>L201*1.5</f>
        <v>0</v>
      </c>
      <c r="N201" s="21"/>
      <c r="O201" s="22">
        <f t="shared" si="99"/>
        <v>0</v>
      </c>
      <c r="P201" s="22">
        <f>ROUND(O201/24,2)</f>
        <v>0</v>
      </c>
      <c r="Q201" s="22">
        <f>P201*1.5</f>
        <v>0</v>
      </c>
      <c r="R201" s="23"/>
    </row>
    <row r="202" spans="1:18" ht="18.75" customHeight="1" x14ac:dyDescent="0.35">
      <c r="A202" s="145"/>
      <c r="B202" s="145" t="s">
        <v>9</v>
      </c>
      <c r="C202" s="82"/>
      <c r="D202" s="20">
        <f>ROUND(C202/12,2)</f>
        <v>0</v>
      </c>
      <c r="E202" s="20">
        <f>D202*1.5</f>
        <v>0</v>
      </c>
      <c r="F202" s="21"/>
      <c r="G202" s="276">
        <v>60</v>
      </c>
      <c r="H202" s="20">
        <f>ROUND(G202/12,2)</f>
        <v>5</v>
      </c>
      <c r="I202" s="20">
        <f>H202*1.5</f>
        <v>7.5</v>
      </c>
      <c r="J202" s="21"/>
      <c r="K202" s="82">
        <v>15</v>
      </c>
      <c r="L202" s="20">
        <f>ROUND(K202/12,2)</f>
        <v>1.25</v>
      </c>
      <c r="M202" s="20">
        <f>L202*1.5</f>
        <v>1.875</v>
      </c>
      <c r="N202" s="21"/>
      <c r="O202" s="22">
        <f t="shared" si="99"/>
        <v>75</v>
      </c>
      <c r="P202" s="22">
        <f>ROUND(O202/24,2)</f>
        <v>3.13</v>
      </c>
      <c r="Q202" s="22">
        <f>P202*1.5</f>
        <v>4.6950000000000003</v>
      </c>
      <c r="R202" s="23"/>
    </row>
    <row r="203" spans="1:18" ht="18.75" customHeight="1" x14ac:dyDescent="0.35">
      <c r="A203" s="154"/>
      <c r="B203" s="154" t="s">
        <v>10</v>
      </c>
      <c r="C203" s="82"/>
      <c r="D203" s="20">
        <f>ROUND(C203/12,2)</f>
        <v>0</v>
      </c>
      <c r="E203" s="20">
        <f>D203*1.5</f>
        <v>0</v>
      </c>
      <c r="F203" s="21"/>
      <c r="G203" s="276">
        <v>240</v>
      </c>
      <c r="H203" s="20">
        <f>ROUND(G203/12,2)</f>
        <v>20</v>
      </c>
      <c r="I203" s="20">
        <f>H203*1.5</f>
        <v>30</v>
      </c>
      <c r="J203" s="21"/>
      <c r="K203" s="82">
        <v>0</v>
      </c>
      <c r="L203" s="20">
        <f>ROUND(K203/12,2)</f>
        <v>0</v>
      </c>
      <c r="M203" s="20">
        <f>L203*1.5</f>
        <v>0</v>
      </c>
      <c r="N203" s="21"/>
      <c r="O203" s="22">
        <f t="shared" si="99"/>
        <v>240</v>
      </c>
      <c r="P203" s="22">
        <f>ROUND(O203/24,2)</f>
        <v>10</v>
      </c>
      <c r="Q203" s="22">
        <f>P203*1.5</f>
        <v>15</v>
      </c>
      <c r="R203" s="23"/>
    </row>
    <row r="204" spans="1:18" ht="18.75" customHeight="1" x14ac:dyDescent="0.35">
      <c r="A204" s="145" t="s">
        <v>67</v>
      </c>
      <c r="B204" s="145" t="s">
        <v>8</v>
      </c>
      <c r="C204" s="82"/>
      <c r="D204" s="20">
        <f>ROUND(C204/18,2)</f>
        <v>0</v>
      </c>
      <c r="E204" s="20"/>
      <c r="F204" s="21">
        <f>SUM(D204,E205:E207)</f>
        <v>0</v>
      </c>
      <c r="G204" s="276">
        <v>3210</v>
      </c>
      <c r="H204" s="20">
        <f>ROUND(G204/18,2)</f>
        <v>178.33</v>
      </c>
      <c r="I204" s="20"/>
      <c r="J204" s="21">
        <f>SUM(H204,I205:I207)</f>
        <v>184.45000000000002</v>
      </c>
      <c r="K204" s="82">
        <v>0</v>
      </c>
      <c r="L204" s="20">
        <f>ROUND(K204/18,2)</f>
        <v>0</v>
      </c>
      <c r="M204" s="20"/>
      <c r="N204" s="21">
        <f>SUM(L204,M205:M207)</f>
        <v>0</v>
      </c>
      <c r="O204" s="22">
        <f t="shared" si="99"/>
        <v>3210</v>
      </c>
      <c r="P204" s="22">
        <f>ROUND(O204/36,2)</f>
        <v>89.17</v>
      </c>
      <c r="Q204" s="22"/>
      <c r="R204" s="23">
        <f>SUM(P204,Q205:Q207)</f>
        <v>92.24499999999999</v>
      </c>
    </row>
    <row r="205" spans="1:18" ht="18.75" customHeight="1" x14ac:dyDescent="0.35">
      <c r="A205" s="145"/>
      <c r="B205" s="145" t="s">
        <v>64</v>
      </c>
      <c r="C205" s="82"/>
      <c r="D205" s="20">
        <f>ROUND(C205/12,2)</f>
        <v>0</v>
      </c>
      <c r="E205" s="20">
        <f>D205*1.5</f>
        <v>0</v>
      </c>
      <c r="F205" s="21"/>
      <c r="G205" s="276">
        <v>0</v>
      </c>
      <c r="H205" s="20">
        <f>ROUND(G205/12,2)</f>
        <v>0</v>
      </c>
      <c r="I205" s="20">
        <f>H205*1.5</f>
        <v>0</v>
      </c>
      <c r="J205" s="21"/>
      <c r="K205" s="82">
        <v>0</v>
      </c>
      <c r="L205" s="20">
        <f>ROUND(K205/12,2)</f>
        <v>0</v>
      </c>
      <c r="M205" s="20">
        <f>L205*1.5</f>
        <v>0</v>
      </c>
      <c r="N205" s="21"/>
      <c r="O205" s="22">
        <f t="shared" si="99"/>
        <v>0</v>
      </c>
      <c r="P205" s="22">
        <f t="shared" ref="P205:P207" si="120">ROUND(O205/24,2)</f>
        <v>0</v>
      </c>
      <c r="Q205" s="22">
        <f t="shared" ref="Q205:Q207" si="121">P205*1.5</f>
        <v>0</v>
      </c>
      <c r="R205" s="23"/>
    </row>
    <row r="206" spans="1:18" ht="18.75" customHeight="1" x14ac:dyDescent="0.35">
      <c r="A206" s="145"/>
      <c r="B206" s="145" t="s">
        <v>9</v>
      </c>
      <c r="C206" s="82"/>
      <c r="D206" s="20">
        <f>ROUND(C206/12,2)</f>
        <v>0</v>
      </c>
      <c r="E206" s="20">
        <f>D206*1.5</f>
        <v>0</v>
      </c>
      <c r="F206" s="21"/>
      <c r="G206" s="276">
        <v>22</v>
      </c>
      <c r="H206" s="20">
        <f>ROUND(G206/12,2)</f>
        <v>1.83</v>
      </c>
      <c r="I206" s="20">
        <f>H206*1.5</f>
        <v>2.7450000000000001</v>
      </c>
      <c r="J206" s="21"/>
      <c r="K206" s="82">
        <v>0</v>
      </c>
      <c r="L206" s="20">
        <f>ROUND(K206/12,2)</f>
        <v>0</v>
      </c>
      <c r="M206" s="20">
        <f>L206*1.5</f>
        <v>0</v>
      </c>
      <c r="N206" s="21"/>
      <c r="O206" s="22">
        <f t="shared" si="99"/>
        <v>22</v>
      </c>
      <c r="P206" s="22">
        <f t="shared" si="120"/>
        <v>0.92</v>
      </c>
      <c r="Q206" s="22">
        <f t="shared" si="121"/>
        <v>1.3800000000000001</v>
      </c>
      <c r="R206" s="23"/>
    </row>
    <row r="207" spans="1:18" ht="18.75" customHeight="1" x14ac:dyDescent="0.35">
      <c r="A207" s="145"/>
      <c r="B207" s="145" t="s">
        <v>10</v>
      </c>
      <c r="C207" s="82"/>
      <c r="D207" s="20">
        <f>ROUND(C207/12,2)</f>
        <v>0</v>
      </c>
      <c r="E207" s="20">
        <f>D207*1.5</f>
        <v>0</v>
      </c>
      <c r="F207" s="21"/>
      <c r="G207" s="276">
        <v>27</v>
      </c>
      <c r="H207" s="20">
        <f>ROUND(G207/12,2)</f>
        <v>2.25</v>
      </c>
      <c r="I207" s="20">
        <f>H207*1.5</f>
        <v>3.375</v>
      </c>
      <c r="J207" s="21"/>
      <c r="K207" s="82">
        <v>0</v>
      </c>
      <c r="L207" s="20">
        <f>ROUND(K207/12,2)</f>
        <v>0</v>
      </c>
      <c r="M207" s="20">
        <f>L207*1.5</f>
        <v>0</v>
      </c>
      <c r="N207" s="21"/>
      <c r="O207" s="22">
        <f t="shared" si="99"/>
        <v>27</v>
      </c>
      <c r="P207" s="22">
        <f t="shared" si="120"/>
        <v>1.1299999999999999</v>
      </c>
      <c r="Q207" s="22">
        <f t="shared" si="121"/>
        <v>1.6949999999999998</v>
      </c>
      <c r="R207" s="23"/>
    </row>
    <row r="208" spans="1:18" ht="18.75" customHeight="1" x14ac:dyDescent="0.35">
      <c r="A208" s="145" t="s">
        <v>68</v>
      </c>
      <c r="B208" s="145" t="s">
        <v>8</v>
      </c>
      <c r="C208" s="82"/>
      <c r="D208" s="20">
        <f>ROUND(C208/18,2)</f>
        <v>0</v>
      </c>
      <c r="E208" s="20"/>
      <c r="F208" s="21">
        <f>SUM(D208,E209:E211)</f>
        <v>0</v>
      </c>
      <c r="G208" s="276">
        <v>5049</v>
      </c>
      <c r="H208" s="20">
        <f>ROUND(G208/18,2)</f>
        <v>280.5</v>
      </c>
      <c r="I208" s="20"/>
      <c r="J208" s="21">
        <f>SUM(H208,I209:I211)</f>
        <v>305.25</v>
      </c>
      <c r="K208" s="82">
        <v>24</v>
      </c>
      <c r="L208" s="20">
        <f>ROUND(K208/18,2)</f>
        <v>1.33</v>
      </c>
      <c r="M208" s="20"/>
      <c r="N208" s="21">
        <f>SUM(L208,M209:M211)</f>
        <v>9.2050000000000001</v>
      </c>
      <c r="O208" s="22">
        <f t="shared" si="99"/>
        <v>5073</v>
      </c>
      <c r="P208" s="22">
        <f>ROUND(O208/36,2)</f>
        <v>140.91999999999999</v>
      </c>
      <c r="Q208" s="22"/>
      <c r="R208" s="23">
        <f>SUM(P208,Q209:Q211)</f>
        <v>157.23999999999998</v>
      </c>
    </row>
    <row r="209" spans="1:18" ht="18.75" customHeight="1" x14ac:dyDescent="0.35">
      <c r="A209" s="145"/>
      <c r="B209" s="145" t="s">
        <v>64</v>
      </c>
      <c r="C209" s="82"/>
      <c r="D209" s="20">
        <f>ROUND(C209/12,2)</f>
        <v>0</v>
      </c>
      <c r="E209" s="20">
        <f>D209*1.5</f>
        <v>0</v>
      </c>
      <c r="F209" s="21"/>
      <c r="G209" s="276">
        <v>0</v>
      </c>
      <c r="H209" s="20">
        <f>ROUND(G209/12,2)</f>
        <v>0</v>
      </c>
      <c r="I209" s="20">
        <f>H209*1.5</f>
        <v>0</v>
      </c>
      <c r="J209" s="21"/>
      <c r="K209" s="82">
        <v>0</v>
      </c>
      <c r="L209" s="20">
        <f>ROUND(K209/12,2)</f>
        <v>0</v>
      </c>
      <c r="M209" s="20">
        <f>L209*1.5</f>
        <v>0</v>
      </c>
      <c r="N209" s="21"/>
      <c r="O209" s="22">
        <f t="shared" si="99"/>
        <v>0</v>
      </c>
      <c r="P209" s="22">
        <f t="shared" ref="P209:P211" si="122">ROUND(O209/24,2)</f>
        <v>0</v>
      </c>
      <c r="Q209" s="22">
        <f t="shared" ref="Q209:Q211" si="123">P209*1.5</f>
        <v>0</v>
      </c>
      <c r="R209" s="23"/>
    </row>
    <row r="210" spans="1:18" ht="18.75" customHeight="1" x14ac:dyDescent="0.35">
      <c r="A210" s="145"/>
      <c r="B210" s="145" t="s">
        <v>9</v>
      </c>
      <c r="C210" s="82"/>
      <c r="D210" s="20">
        <f>ROUND(C210/12,2)</f>
        <v>0</v>
      </c>
      <c r="E210" s="20">
        <f>D210*1.5</f>
        <v>0</v>
      </c>
      <c r="F210" s="21"/>
      <c r="G210" s="276">
        <v>195</v>
      </c>
      <c r="H210" s="20">
        <f>ROUND(G210/12,2)</f>
        <v>16.25</v>
      </c>
      <c r="I210" s="20">
        <f>H210*1.5</f>
        <v>24.375</v>
      </c>
      <c r="J210" s="21"/>
      <c r="K210" s="82">
        <v>63</v>
      </c>
      <c r="L210" s="20">
        <f>ROUND(K210/12,2)</f>
        <v>5.25</v>
      </c>
      <c r="M210" s="20">
        <f>L210*1.5</f>
        <v>7.875</v>
      </c>
      <c r="N210" s="21"/>
      <c r="O210" s="22">
        <f t="shared" si="99"/>
        <v>258</v>
      </c>
      <c r="P210" s="22">
        <f t="shared" si="122"/>
        <v>10.75</v>
      </c>
      <c r="Q210" s="22">
        <f t="shared" si="123"/>
        <v>16.125</v>
      </c>
      <c r="R210" s="23"/>
    </row>
    <row r="211" spans="1:18" ht="18.75" customHeight="1" x14ac:dyDescent="0.35">
      <c r="A211" s="145"/>
      <c r="B211" s="145" t="s">
        <v>10</v>
      </c>
      <c r="C211" s="82"/>
      <c r="D211" s="20">
        <f>ROUND(C211/12,2)</f>
        <v>0</v>
      </c>
      <c r="E211" s="20">
        <f>D211*1.5</f>
        <v>0</v>
      </c>
      <c r="F211" s="21"/>
      <c r="G211" s="276">
        <v>3</v>
      </c>
      <c r="H211" s="20">
        <f>ROUND(G211/12,2)</f>
        <v>0.25</v>
      </c>
      <c r="I211" s="20">
        <f>H211*1.5</f>
        <v>0.375</v>
      </c>
      <c r="J211" s="21"/>
      <c r="K211" s="82">
        <v>0</v>
      </c>
      <c r="L211" s="20">
        <f>ROUND(K211/12,2)</f>
        <v>0</v>
      </c>
      <c r="M211" s="20">
        <f>L211*1.5</f>
        <v>0</v>
      </c>
      <c r="N211" s="21"/>
      <c r="O211" s="22">
        <f t="shared" si="99"/>
        <v>3</v>
      </c>
      <c r="P211" s="22">
        <f t="shared" si="122"/>
        <v>0.13</v>
      </c>
      <c r="Q211" s="22">
        <f t="shared" si="123"/>
        <v>0.19500000000000001</v>
      </c>
      <c r="R211" s="23"/>
    </row>
    <row r="212" spans="1:18" ht="18.75" customHeight="1" x14ac:dyDescent="0.35">
      <c r="A212" s="153" t="s">
        <v>69</v>
      </c>
      <c r="B212" s="153" t="s">
        <v>8</v>
      </c>
      <c r="C212" s="276"/>
      <c r="D212" s="20">
        <f>ROUND(C212/18,2)</f>
        <v>0</v>
      </c>
      <c r="E212" s="20"/>
      <c r="F212" s="21">
        <f>SUM(D212,E213:E215)</f>
        <v>0</v>
      </c>
      <c r="G212" s="276">
        <v>0</v>
      </c>
      <c r="H212" s="20">
        <f>ROUND(G212/18,2)</f>
        <v>0</v>
      </c>
      <c r="I212" s="20"/>
      <c r="J212" s="21">
        <f>SUM(H212,I213:I215)</f>
        <v>0.75</v>
      </c>
      <c r="K212" s="82">
        <v>0</v>
      </c>
      <c r="L212" s="20">
        <f>ROUND(K212/18,2)</f>
        <v>0</v>
      </c>
      <c r="M212" s="20"/>
      <c r="N212" s="21">
        <f>SUM(L212,M213:M215)</f>
        <v>0</v>
      </c>
      <c r="O212" s="22">
        <f t="shared" si="99"/>
        <v>0</v>
      </c>
      <c r="P212" s="22">
        <f>ROUND(O212/36,2)</f>
        <v>0</v>
      </c>
      <c r="Q212" s="22"/>
      <c r="R212" s="23">
        <f>SUM(P212,Q213:Q215)</f>
        <v>0.375</v>
      </c>
    </row>
    <row r="213" spans="1:18" ht="18.75" customHeight="1" x14ac:dyDescent="0.35">
      <c r="A213" s="145"/>
      <c r="B213" s="145" t="s">
        <v>64</v>
      </c>
      <c r="C213" s="276"/>
      <c r="D213" s="20">
        <f>ROUND(C213/12,2)</f>
        <v>0</v>
      </c>
      <c r="E213" s="20">
        <f>D213*1.5</f>
        <v>0</v>
      </c>
      <c r="F213" s="21"/>
      <c r="G213" s="276">
        <v>0</v>
      </c>
      <c r="H213" s="20">
        <f>ROUND(G213/12,2)</f>
        <v>0</v>
      </c>
      <c r="I213" s="20">
        <f>H213*1.5</f>
        <v>0</v>
      </c>
      <c r="J213" s="21"/>
      <c r="K213" s="82">
        <v>0</v>
      </c>
      <c r="L213" s="20">
        <f>ROUND(K213/12,2)</f>
        <v>0</v>
      </c>
      <c r="M213" s="20">
        <f>L213*1.5</f>
        <v>0</v>
      </c>
      <c r="N213" s="21"/>
      <c r="O213" s="22">
        <f t="shared" si="99"/>
        <v>0</v>
      </c>
      <c r="P213" s="22">
        <f t="shared" ref="P213:P215" si="124">ROUND(O213/24,2)</f>
        <v>0</v>
      </c>
      <c r="Q213" s="22">
        <f t="shared" ref="Q213:Q215" si="125">P213*1.5</f>
        <v>0</v>
      </c>
      <c r="R213" s="23"/>
    </row>
    <row r="214" spans="1:18" ht="18.75" customHeight="1" x14ac:dyDescent="0.35">
      <c r="A214" s="145"/>
      <c r="B214" s="145" t="s">
        <v>9</v>
      </c>
      <c r="C214" s="276"/>
      <c r="D214" s="20">
        <f>ROUND(C214/12,2)</f>
        <v>0</v>
      </c>
      <c r="E214" s="20">
        <f>D214*1.5</f>
        <v>0</v>
      </c>
      <c r="F214" s="21"/>
      <c r="G214" s="276">
        <v>0</v>
      </c>
      <c r="H214" s="20">
        <f>ROUND(G214/12,2)</f>
        <v>0</v>
      </c>
      <c r="I214" s="20">
        <f>H214*1.5</f>
        <v>0</v>
      </c>
      <c r="J214" s="21"/>
      <c r="K214" s="82">
        <v>0</v>
      </c>
      <c r="L214" s="20">
        <f>ROUND(K214/12,2)</f>
        <v>0</v>
      </c>
      <c r="M214" s="20">
        <f>L214*1.5</f>
        <v>0</v>
      </c>
      <c r="N214" s="21"/>
      <c r="O214" s="22">
        <f t="shared" si="99"/>
        <v>0</v>
      </c>
      <c r="P214" s="22">
        <f t="shared" si="124"/>
        <v>0</v>
      </c>
      <c r="Q214" s="22">
        <f t="shared" si="125"/>
        <v>0</v>
      </c>
      <c r="R214" s="23"/>
    </row>
    <row r="215" spans="1:18" ht="18.75" customHeight="1" x14ac:dyDescent="0.35">
      <c r="A215" s="154"/>
      <c r="B215" s="154" t="s">
        <v>10</v>
      </c>
      <c r="C215" s="276"/>
      <c r="D215" s="20">
        <f>ROUND(C215/12,2)</f>
        <v>0</v>
      </c>
      <c r="E215" s="20">
        <f>D215*1.5</f>
        <v>0</v>
      </c>
      <c r="F215" s="21"/>
      <c r="G215" s="276">
        <v>6</v>
      </c>
      <c r="H215" s="20">
        <f>ROUND(G215/12,2)</f>
        <v>0.5</v>
      </c>
      <c r="I215" s="20">
        <f>H215*1.5</f>
        <v>0.75</v>
      </c>
      <c r="J215" s="21"/>
      <c r="K215" s="82">
        <v>0</v>
      </c>
      <c r="L215" s="20">
        <f>ROUND(K215/12,2)</f>
        <v>0</v>
      </c>
      <c r="M215" s="20">
        <f>L215*1.5</f>
        <v>0</v>
      </c>
      <c r="N215" s="21"/>
      <c r="O215" s="22">
        <f t="shared" si="99"/>
        <v>6</v>
      </c>
      <c r="P215" s="22">
        <f t="shared" si="124"/>
        <v>0.25</v>
      </c>
      <c r="Q215" s="22">
        <f t="shared" si="125"/>
        <v>0.375</v>
      </c>
      <c r="R215" s="23"/>
    </row>
    <row r="216" spans="1:18" ht="18.75" customHeight="1" x14ac:dyDescent="0.35">
      <c r="A216" s="145" t="s">
        <v>70</v>
      </c>
      <c r="B216" s="145" t="s">
        <v>8</v>
      </c>
      <c r="C216" s="82"/>
      <c r="D216" s="20">
        <f>ROUND(C216/18,2)</f>
        <v>0</v>
      </c>
      <c r="E216" s="20"/>
      <c r="F216" s="21">
        <f>SUM(D216,E217:E219)</f>
        <v>0</v>
      </c>
      <c r="G216" s="276">
        <v>5999</v>
      </c>
      <c r="H216" s="20">
        <f>ROUND(G216/18,2)</f>
        <v>333.28</v>
      </c>
      <c r="I216" s="20"/>
      <c r="J216" s="21">
        <f>SUM(H216,I217:I219)</f>
        <v>372.4</v>
      </c>
      <c r="K216" s="82">
        <v>0</v>
      </c>
      <c r="L216" s="20">
        <f>ROUND(K216/18,2)</f>
        <v>0</v>
      </c>
      <c r="M216" s="20"/>
      <c r="N216" s="21">
        <f>SUM(L216,M217:M219)</f>
        <v>7.5</v>
      </c>
      <c r="O216" s="22">
        <f t="shared" si="99"/>
        <v>5999</v>
      </c>
      <c r="P216" s="22">
        <f>ROUND(O216/36,2)</f>
        <v>166.64</v>
      </c>
      <c r="Q216" s="22"/>
      <c r="R216" s="23">
        <f>SUM(P216,Q217:Q219)</f>
        <v>189.96499999999997</v>
      </c>
    </row>
    <row r="217" spans="1:18" ht="18.75" customHeight="1" x14ac:dyDescent="0.35">
      <c r="A217" s="145"/>
      <c r="B217" s="145" t="s">
        <v>64</v>
      </c>
      <c r="C217" s="82"/>
      <c r="D217" s="20">
        <f>ROUND(C217/12,2)</f>
        <v>0</v>
      </c>
      <c r="E217" s="20">
        <f>D217*1.5</f>
        <v>0</v>
      </c>
      <c r="F217" s="21"/>
      <c r="G217" s="276">
        <v>0</v>
      </c>
      <c r="H217" s="20">
        <f>ROUND(G217/12,2)</f>
        <v>0</v>
      </c>
      <c r="I217" s="20">
        <f>H217*1.5</f>
        <v>0</v>
      </c>
      <c r="J217" s="21"/>
      <c r="K217" s="82">
        <v>0</v>
      </c>
      <c r="L217" s="20">
        <f>ROUND(K217/12,2)</f>
        <v>0</v>
      </c>
      <c r="M217" s="20">
        <f>L217*1.5</f>
        <v>0</v>
      </c>
      <c r="N217" s="21"/>
      <c r="O217" s="22">
        <f t="shared" si="99"/>
        <v>0</v>
      </c>
      <c r="P217" s="22">
        <f>ROUND(O217/24,2)</f>
        <v>0</v>
      </c>
      <c r="Q217" s="22">
        <f>P217*1.5</f>
        <v>0</v>
      </c>
      <c r="R217" s="23"/>
    </row>
    <row r="218" spans="1:18" ht="18.75" customHeight="1" x14ac:dyDescent="0.35">
      <c r="A218" s="145"/>
      <c r="B218" s="145" t="s">
        <v>9</v>
      </c>
      <c r="C218" s="82"/>
      <c r="D218" s="20">
        <f>ROUND(C218/12,2)</f>
        <v>0</v>
      </c>
      <c r="E218" s="20">
        <f>D218*1.5</f>
        <v>0</v>
      </c>
      <c r="F218" s="21"/>
      <c r="G218" s="276">
        <v>118</v>
      </c>
      <c r="H218" s="20">
        <f>ROUND(G218/12,2)</f>
        <v>9.83</v>
      </c>
      <c r="I218" s="20">
        <f>H218*1.5</f>
        <v>14.745000000000001</v>
      </c>
      <c r="J218" s="21"/>
      <c r="K218" s="82">
        <v>60</v>
      </c>
      <c r="L218" s="20">
        <f>ROUND(K218/12,2)</f>
        <v>5</v>
      </c>
      <c r="M218" s="20">
        <f>L218*1.5</f>
        <v>7.5</v>
      </c>
      <c r="N218" s="21"/>
      <c r="O218" s="22">
        <f t="shared" si="99"/>
        <v>178</v>
      </c>
      <c r="P218" s="22">
        <f>ROUND(O218/24,2)</f>
        <v>7.42</v>
      </c>
      <c r="Q218" s="22">
        <f>P218*1.5</f>
        <v>11.129999999999999</v>
      </c>
      <c r="R218" s="23"/>
    </row>
    <row r="219" spans="1:18" ht="18.75" customHeight="1" x14ac:dyDescent="0.35">
      <c r="A219" s="145"/>
      <c r="B219" s="145" t="s">
        <v>10</v>
      </c>
      <c r="C219" s="82"/>
      <c r="D219" s="20">
        <f>ROUND(C219/12,2)</f>
        <v>0</v>
      </c>
      <c r="E219" s="20">
        <f>D219*1.5</f>
        <v>0</v>
      </c>
      <c r="F219" s="21"/>
      <c r="G219" s="276">
        <v>195</v>
      </c>
      <c r="H219" s="20">
        <f>ROUND(G219/12,2)</f>
        <v>16.25</v>
      </c>
      <c r="I219" s="20">
        <f>H219*1.5</f>
        <v>24.375</v>
      </c>
      <c r="J219" s="21"/>
      <c r="K219" s="82">
        <v>0</v>
      </c>
      <c r="L219" s="20">
        <f>ROUND(K219/12,2)</f>
        <v>0</v>
      </c>
      <c r="M219" s="20">
        <f>L219*1.5</f>
        <v>0</v>
      </c>
      <c r="N219" s="21"/>
      <c r="O219" s="22">
        <f t="shared" si="99"/>
        <v>195</v>
      </c>
      <c r="P219" s="22">
        <f>ROUND(O219/24,2)</f>
        <v>8.1300000000000008</v>
      </c>
      <c r="Q219" s="22">
        <f>P219*1.5</f>
        <v>12.195</v>
      </c>
      <c r="R219" s="23"/>
    </row>
    <row r="220" spans="1:18" ht="18.75" customHeight="1" x14ac:dyDescent="0.35">
      <c r="A220" s="177" t="s">
        <v>22</v>
      </c>
      <c r="B220" s="151" t="s">
        <v>8</v>
      </c>
      <c r="C220" s="95">
        <f>SUMIF($B$191:$B$219,"ปริญญาตรี",C191:C219)</f>
        <v>0</v>
      </c>
      <c r="D220" s="248">
        <f>ROUND(C220/18,2)</f>
        <v>0</v>
      </c>
      <c r="E220" s="248"/>
      <c r="F220" s="249">
        <f>SUM(D220,E221:E223)</f>
        <v>0</v>
      </c>
      <c r="G220" s="262">
        <f>SUMIF($B$191:$B$219,"ปริญญาตรี",G191:G219)</f>
        <v>29937</v>
      </c>
      <c r="H220" s="248">
        <f>ROUND(G220/18,2)</f>
        <v>1663.17</v>
      </c>
      <c r="I220" s="248"/>
      <c r="J220" s="249">
        <f>SUM(H220,I221:I223)</f>
        <v>1807.5450000000001</v>
      </c>
      <c r="K220" s="262">
        <f>SUMIF($B$191:$B$219,"ปริญญาตรี",K191:K219)</f>
        <v>34</v>
      </c>
      <c r="L220" s="248">
        <f>ROUND(K220/18,2)</f>
        <v>1.89</v>
      </c>
      <c r="M220" s="248"/>
      <c r="N220" s="249">
        <f>SUM(L220,M221:M223)</f>
        <v>19.14</v>
      </c>
      <c r="O220" s="263">
        <f t="shared" si="99"/>
        <v>29971</v>
      </c>
      <c r="P220" s="254">
        <f>ROUND(O220/36,2)</f>
        <v>832.53</v>
      </c>
      <c r="Q220" s="254"/>
      <c r="R220" s="255">
        <f>SUM(P220,Q221:Q223)</f>
        <v>913.35</v>
      </c>
    </row>
    <row r="221" spans="1:18" ht="18.75" customHeight="1" x14ac:dyDescent="0.35">
      <c r="A221" s="174" t="s">
        <v>22</v>
      </c>
      <c r="B221" s="151" t="s">
        <v>64</v>
      </c>
      <c r="C221" s="95">
        <f>SUMIF($B$191:$B$219,"ป.บัณฑิต",C191:C219)</f>
        <v>0</v>
      </c>
      <c r="D221" s="248">
        <f>ROUND(C221/12,2)</f>
        <v>0</v>
      </c>
      <c r="E221" s="248">
        <f>D221*1.5</f>
        <v>0</v>
      </c>
      <c r="F221" s="249"/>
      <c r="G221" s="262">
        <f>SUMIF($B$191:$B$219,"ป.บัณฑิต",G191:G219)</f>
        <v>0</v>
      </c>
      <c r="H221" s="248">
        <f>ROUND(G221/12,2)</f>
        <v>0</v>
      </c>
      <c r="I221" s="248">
        <f>H221*1.5</f>
        <v>0</v>
      </c>
      <c r="J221" s="249"/>
      <c r="K221" s="262">
        <f>SUMIF($B$191:$B$219,"ป.บัณฑิต",K191:K219)</f>
        <v>0</v>
      </c>
      <c r="L221" s="248">
        <f>ROUND(K221/12,2)</f>
        <v>0</v>
      </c>
      <c r="M221" s="248">
        <f>L221*1.5</f>
        <v>0</v>
      </c>
      <c r="N221" s="249"/>
      <c r="O221" s="263">
        <f t="shared" si="99"/>
        <v>0</v>
      </c>
      <c r="P221" s="254">
        <f t="shared" ref="P221:P223" si="126">ROUND(O221/24,2)</f>
        <v>0</v>
      </c>
      <c r="Q221" s="254">
        <f t="shared" ref="Q221:Q223" si="127">P221*1.5</f>
        <v>0</v>
      </c>
      <c r="R221" s="255"/>
    </row>
    <row r="222" spans="1:18" ht="18.75" customHeight="1" x14ac:dyDescent="0.35">
      <c r="A222" s="174" t="s">
        <v>22</v>
      </c>
      <c r="B222" s="151" t="s">
        <v>9</v>
      </c>
      <c r="C222" s="93">
        <f>SUMIF($B$191:$B$219,"ปริญญาโท",C191:C219)</f>
        <v>0</v>
      </c>
      <c r="D222" s="248">
        <f>ROUND(C222/12,2)</f>
        <v>0</v>
      </c>
      <c r="E222" s="248">
        <f>D222*1.5</f>
        <v>0</v>
      </c>
      <c r="F222" s="249"/>
      <c r="G222" s="250">
        <f>SUMIF($B$191:$B$219,"ปริญญาโท",G191:G219)</f>
        <v>666</v>
      </c>
      <c r="H222" s="248">
        <f>ROUND(G222/12,2)</f>
        <v>55.5</v>
      </c>
      <c r="I222" s="248">
        <f>H222*1.5</f>
        <v>83.25</v>
      </c>
      <c r="J222" s="249"/>
      <c r="K222" s="250">
        <f>SUMIF($B$191:$B$219,"ปริญญาโท",K191:K219)</f>
        <v>138</v>
      </c>
      <c r="L222" s="248">
        <f>ROUND(K222/12,2)</f>
        <v>11.5</v>
      </c>
      <c r="M222" s="248">
        <f>L222*1.5</f>
        <v>17.25</v>
      </c>
      <c r="N222" s="249"/>
      <c r="O222" s="263">
        <f t="shared" ref="O222:O223" si="128">SUMIF($C$3:$N$3,"SCH",C222:N222)</f>
        <v>804</v>
      </c>
      <c r="P222" s="254">
        <f t="shared" si="126"/>
        <v>33.5</v>
      </c>
      <c r="Q222" s="254">
        <f t="shared" si="127"/>
        <v>50.25</v>
      </c>
      <c r="R222" s="255"/>
    </row>
    <row r="223" spans="1:18" ht="18.75" customHeight="1" thickBot="1" x14ac:dyDescent="0.4">
      <c r="A223" s="175" t="s">
        <v>22</v>
      </c>
      <c r="B223" s="152" t="s">
        <v>10</v>
      </c>
      <c r="C223" s="94">
        <f>SUMIF($B$191:$B$219,"ปริญญาเอก",C191:C219)</f>
        <v>0</v>
      </c>
      <c r="D223" s="256">
        <f>ROUND(C223/12,2)</f>
        <v>0</v>
      </c>
      <c r="E223" s="256">
        <f>D223*1.5</f>
        <v>0</v>
      </c>
      <c r="F223" s="257"/>
      <c r="G223" s="258">
        <f>SUMIF($B$191:$B$219,"ปริญญาเอก",G191:G219)</f>
        <v>489</v>
      </c>
      <c r="H223" s="256">
        <f>ROUND(G223/12,2)</f>
        <v>40.75</v>
      </c>
      <c r="I223" s="256">
        <f>H223*1.5</f>
        <v>61.125</v>
      </c>
      <c r="J223" s="257"/>
      <c r="K223" s="258">
        <f>SUMIF($B$191:$B$219,"ปริญญาเอก",K191:K219)</f>
        <v>0</v>
      </c>
      <c r="L223" s="256">
        <f>ROUND(K223/12,2)</f>
        <v>0</v>
      </c>
      <c r="M223" s="256">
        <f>L223*1.5</f>
        <v>0</v>
      </c>
      <c r="N223" s="257"/>
      <c r="O223" s="264">
        <f t="shared" si="128"/>
        <v>489</v>
      </c>
      <c r="P223" s="260">
        <f t="shared" si="126"/>
        <v>20.38</v>
      </c>
      <c r="Q223" s="260">
        <f t="shared" si="127"/>
        <v>30.57</v>
      </c>
      <c r="R223" s="261"/>
    </row>
    <row r="224" spans="1:18" ht="18.75" customHeight="1" x14ac:dyDescent="0.35">
      <c r="A224" s="148" t="s">
        <v>71</v>
      </c>
      <c r="B224" s="149"/>
      <c r="C224" s="80"/>
      <c r="D224" s="28"/>
      <c r="E224" s="28"/>
      <c r="F224" s="29"/>
      <c r="G224" s="79"/>
      <c r="H224" s="28"/>
      <c r="I224" s="28"/>
      <c r="J224" s="29"/>
      <c r="K224" s="80"/>
      <c r="L224" s="28"/>
      <c r="M224" s="28"/>
      <c r="N224" s="29"/>
      <c r="O224" s="66"/>
      <c r="P224" s="30"/>
      <c r="Q224" s="30"/>
      <c r="R224" s="31"/>
    </row>
    <row r="225" spans="1:18" ht="18.75" customHeight="1" x14ac:dyDescent="0.35">
      <c r="A225" s="145" t="s">
        <v>7</v>
      </c>
      <c r="B225" s="145" t="s">
        <v>8</v>
      </c>
      <c r="C225" s="20">
        <f>2+6157+873+10623+737.01</f>
        <v>18392.009999999998</v>
      </c>
      <c r="D225" s="20">
        <f>ROUND(C225/18,2)</f>
        <v>1021.78</v>
      </c>
      <c r="E225" s="20"/>
      <c r="F225" s="21">
        <f>SUM(D225,E226:E227)</f>
        <v>1045.28</v>
      </c>
      <c r="G225" s="81">
        <v>18686</v>
      </c>
      <c r="H225" s="20">
        <f>ROUND(G225/18,2)</f>
        <v>1038.1099999999999</v>
      </c>
      <c r="I225" s="20"/>
      <c r="J225" s="21">
        <f>SUM(H225,I226:I227)</f>
        <v>1056.03</v>
      </c>
      <c r="K225" s="140">
        <v>256</v>
      </c>
      <c r="L225" s="20">
        <f>ROUND(K225/18,2)</f>
        <v>14.22</v>
      </c>
      <c r="M225" s="20"/>
      <c r="N225" s="21">
        <f>SUM(L225,M226:M227)</f>
        <v>14.22</v>
      </c>
      <c r="O225" s="22">
        <f t="shared" ref="O225:O264" si="129">SUMIF($C$3:$N$3,"SCH",C225:N225)</f>
        <v>37334.009999999995</v>
      </c>
      <c r="P225" s="22">
        <f>ROUND(O225/36,2)</f>
        <v>1037.06</v>
      </c>
      <c r="Q225" s="22"/>
      <c r="R225" s="23">
        <f>SUM(P225,Q226:Q227)</f>
        <v>1057.77</v>
      </c>
    </row>
    <row r="226" spans="1:18" ht="18.75" customHeight="1" x14ac:dyDescent="0.35">
      <c r="A226" s="163"/>
      <c r="B226" s="145" t="s">
        <v>9</v>
      </c>
      <c r="C226" s="82">
        <v>223</v>
      </c>
      <c r="D226" s="20">
        <f>ROUND(C226/12,2)</f>
        <v>18.579999999999998</v>
      </c>
      <c r="E226" s="20">
        <f>D226*1</f>
        <v>18.579999999999998</v>
      </c>
      <c r="F226" s="21"/>
      <c r="G226" s="81">
        <v>186</v>
      </c>
      <c r="H226" s="20">
        <f>ROUND(G226/12,2)</f>
        <v>15.5</v>
      </c>
      <c r="I226" s="20">
        <f>H226*1</f>
        <v>15.5</v>
      </c>
      <c r="J226" s="21"/>
      <c r="K226" s="82"/>
      <c r="L226" s="20">
        <f>ROUND(K226/12,2)</f>
        <v>0</v>
      </c>
      <c r="M226" s="20">
        <f>L226*1</f>
        <v>0</v>
      </c>
      <c r="N226" s="21"/>
      <c r="O226" s="22">
        <f t="shared" si="129"/>
        <v>409</v>
      </c>
      <c r="P226" s="22">
        <f t="shared" ref="P226:P227" si="130">ROUND(O226/24,2)</f>
        <v>17.04</v>
      </c>
      <c r="Q226" s="22">
        <f t="shared" ref="Q226:Q227" si="131">P226*1</f>
        <v>17.04</v>
      </c>
      <c r="R226" s="23"/>
    </row>
    <row r="227" spans="1:18" ht="18.75" customHeight="1" thickBot="1" x14ac:dyDescent="0.4">
      <c r="A227" s="164"/>
      <c r="B227" s="146" t="s">
        <v>10</v>
      </c>
      <c r="C227" s="84">
        <v>59</v>
      </c>
      <c r="D227" s="24">
        <f>ROUND(C227/12,2)</f>
        <v>4.92</v>
      </c>
      <c r="E227" s="24">
        <f>D227*1</f>
        <v>4.92</v>
      </c>
      <c r="F227" s="25"/>
      <c r="G227" s="83">
        <v>29</v>
      </c>
      <c r="H227" s="24">
        <f>ROUND(G227/12,2)</f>
        <v>2.42</v>
      </c>
      <c r="I227" s="24">
        <f>H227*1</f>
        <v>2.42</v>
      </c>
      <c r="J227" s="25"/>
      <c r="K227" s="84"/>
      <c r="L227" s="24">
        <f>ROUND(K227/12,2)</f>
        <v>0</v>
      </c>
      <c r="M227" s="24">
        <f>L227*1</f>
        <v>0</v>
      </c>
      <c r="N227" s="25"/>
      <c r="O227" s="92">
        <f t="shared" si="129"/>
        <v>88</v>
      </c>
      <c r="P227" s="26">
        <f t="shared" si="130"/>
        <v>3.67</v>
      </c>
      <c r="Q227" s="26">
        <f t="shared" si="131"/>
        <v>3.67</v>
      </c>
      <c r="R227" s="27"/>
    </row>
    <row r="228" spans="1:18" ht="18.75" customHeight="1" x14ac:dyDescent="0.35">
      <c r="A228" s="148" t="s">
        <v>72</v>
      </c>
      <c r="B228" s="149"/>
      <c r="C228" s="80"/>
      <c r="D228" s="28"/>
      <c r="E228" s="28"/>
      <c r="F228" s="29"/>
      <c r="G228" s="79"/>
      <c r="H228" s="28"/>
      <c r="I228" s="28"/>
      <c r="J228" s="29"/>
      <c r="K228" s="80"/>
      <c r="L228" s="28"/>
      <c r="M228" s="28"/>
      <c r="N228" s="29"/>
      <c r="O228" s="30"/>
      <c r="P228" s="30"/>
      <c r="Q228" s="30"/>
      <c r="R228" s="31"/>
    </row>
    <row r="229" spans="1:18" ht="18.75" customHeight="1" x14ac:dyDescent="0.35">
      <c r="A229" s="145" t="s">
        <v>73</v>
      </c>
      <c r="B229" s="145" t="s">
        <v>8</v>
      </c>
      <c r="C229" s="82">
        <v>1511</v>
      </c>
      <c r="D229" s="20">
        <f>ROUND(C229/18,2)</f>
        <v>83.94</v>
      </c>
      <c r="E229" s="20"/>
      <c r="F229" s="21">
        <f>SUM(D229,E230:E231)</f>
        <v>83.94</v>
      </c>
      <c r="G229" s="81">
        <v>2328</v>
      </c>
      <c r="H229" s="20">
        <f>ROUND(G229/18,2)</f>
        <v>129.33000000000001</v>
      </c>
      <c r="I229" s="20"/>
      <c r="J229" s="21">
        <f>SUM(H229,I230:I231)</f>
        <v>129.33000000000001</v>
      </c>
      <c r="K229" s="82"/>
      <c r="L229" s="20">
        <f>ROUND(K229/18,2)</f>
        <v>0</v>
      </c>
      <c r="M229" s="20"/>
      <c r="N229" s="21">
        <f>SUM(L229,M230:M231)</f>
        <v>0</v>
      </c>
      <c r="O229" s="22">
        <f t="shared" si="129"/>
        <v>3839</v>
      </c>
      <c r="P229" s="22">
        <f>ROUND(O229/36,2)</f>
        <v>106.64</v>
      </c>
      <c r="Q229" s="22"/>
      <c r="R229" s="23">
        <f>SUM(P229,Q230:Q231)</f>
        <v>106.64</v>
      </c>
    </row>
    <row r="230" spans="1:18" ht="18.75" customHeight="1" x14ac:dyDescent="0.35">
      <c r="A230" s="145"/>
      <c r="B230" s="145" t="s">
        <v>9</v>
      </c>
      <c r="C230" s="82"/>
      <c r="D230" s="20">
        <f>ROUND(C230/12,2)</f>
        <v>0</v>
      </c>
      <c r="E230" s="20">
        <f>D230*1</f>
        <v>0</v>
      </c>
      <c r="F230" s="21"/>
      <c r="G230" s="81"/>
      <c r="H230" s="20">
        <f>ROUND(G230/12,2)</f>
        <v>0</v>
      </c>
      <c r="I230" s="20">
        <f>H230*1</f>
        <v>0</v>
      </c>
      <c r="J230" s="21"/>
      <c r="K230" s="82"/>
      <c r="L230" s="20">
        <f>ROUND(K230/12,2)</f>
        <v>0</v>
      </c>
      <c r="M230" s="20">
        <f>L230*1</f>
        <v>0</v>
      </c>
      <c r="N230" s="21"/>
      <c r="O230" s="22">
        <f t="shared" si="129"/>
        <v>0</v>
      </c>
      <c r="P230" s="22">
        <f t="shared" ref="P230:P231" si="132">ROUND(O230/24,2)</f>
        <v>0</v>
      </c>
      <c r="Q230" s="22">
        <f t="shared" ref="Q230:Q231" si="133">P230*1</f>
        <v>0</v>
      </c>
      <c r="R230" s="23"/>
    </row>
    <row r="231" spans="1:18" ht="18.75" customHeight="1" x14ac:dyDescent="0.35">
      <c r="A231" s="145"/>
      <c r="B231" s="145" t="s">
        <v>10</v>
      </c>
      <c r="C231" s="82"/>
      <c r="D231" s="20">
        <f>ROUND(C231/12,2)</f>
        <v>0</v>
      </c>
      <c r="E231" s="20">
        <f>D231*1</f>
        <v>0</v>
      </c>
      <c r="F231" s="21"/>
      <c r="G231" s="81"/>
      <c r="H231" s="20">
        <f>ROUND(G231/12,2)</f>
        <v>0</v>
      </c>
      <c r="I231" s="20">
        <f>H231*1</f>
        <v>0</v>
      </c>
      <c r="J231" s="21"/>
      <c r="K231" s="82"/>
      <c r="L231" s="20">
        <f>ROUND(K231/12,2)</f>
        <v>0</v>
      </c>
      <c r="M231" s="20">
        <f>L231*1</f>
        <v>0</v>
      </c>
      <c r="N231" s="21"/>
      <c r="O231" s="22">
        <f t="shared" si="129"/>
        <v>0</v>
      </c>
      <c r="P231" s="22">
        <f t="shared" si="132"/>
        <v>0</v>
      </c>
      <c r="Q231" s="22">
        <f t="shared" si="133"/>
        <v>0</v>
      </c>
      <c r="R231" s="23"/>
    </row>
    <row r="232" spans="1:18" ht="18.75" customHeight="1" x14ac:dyDescent="0.35">
      <c r="A232" s="145" t="s">
        <v>74</v>
      </c>
      <c r="B232" s="145" t="s">
        <v>8</v>
      </c>
      <c r="C232" s="20">
        <f>1573.2+1060.2</f>
        <v>2633.4</v>
      </c>
      <c r="D232" s="20">
        <f>ROUND(C232/18,2)</f>
        <v>146.30000000000001</v>
      </c>
      <c r="E232" s="20"/>
      <c r="F232" s="21">
        <f>SUM(D232,E233:E234)</f>
        <v>152.13000000000002</v>
      </c>
      <c r="G232" s="81">
        <v>1366</v>
      </c>
      <c r="H232" s="20">
        <f>ROUND(G232/18,2)</f>
        <v>75.89</v>
      </c>
      <c r="I232" s="20"/>
      <c r="J232" s="21">
        <f>SUM(H232,I233:I234)</f>
        <v>83.06</v>
      </c>
      <c r="K232" s="82"/>
      <c r="L232" s="20">
        <f>ROUND(K232/18,2)</f>
        <v>0</v>
      </c>
      <c r="M232" s="20"/>
      <c r="N232" s="21">
        <f>SUM(L232,M233:M234)</f>
        <v>0</v>
      </c>
      <c r="O232" s="22">
        <f t="shared" si="129"/>
        <v>3999.4</v>
      </c>
      <c r="P232" s="22">
        <f>ROUND(O232/36,2)</f>
        <v>111.09</v>
      </c>
      <c r="Q232" s="22"/>
      <c r="R232" s="23">
        <f>SUM(P232,Q233:Q234)</f>
        <v>117.6</v>
      </c>
    </row>
    <row r="233" spans="1:18" ht="18.75" customHeight="1" x14ac:dyDescent="0.35">
      <c r="A233" s="145"/>
      <c r="B233" s="145" t="s">
        <v>9</v>
      </c>
      <c r="C233" s="82">
        <v>9</v>
      </c>
      <c r="D233" s="20">
        <f>ROUND(C233/12,2)</f>
        <v>0.75</v>
      </c>
      <c r="E233" s="20">
        <f>D233*1</f>
        <v>0.75</v>
      </c>
      <c r="F233" s="21"/>
      <c r="G233" s="81"/>
      <c r="H233" s="20">
        <f>ROUND(G233/12,2)</f>
        <v>0</v>
      </c>
      <c r="I233" s="20">
        <f>H233*1</f>
        <v>0</v>
      </c>
      <c r="J233" s="21"/>
      <c r="K233" s="82"/>
      <c r="L233" s="20">
        <f>ROUND(K233/12,2)</f>
        <v>0</v>
      </c>
      <c r="M233" s="20">
        <f>L233*1</f>
        <v>0</v>
      </c>
      <c r="N233" s="21"/>
      <c r="O233" s="22">
        <f t="shared" si="129"/>
        <v>9</v>
      </c>
      <c r="P233" s="22">
        <f t="shared" ref="P233:P234" si="134">ROUND(O233/24,2)</f>
        <v>0.38</v>
      </c>
      <c r="Q233" s="22">
        <f t="shared" ref="Q233:Q234" si="135">P233*1</f>
        <v>0.38</v>
      </c>
      <c r="R233" s="23"/>
    </row>
    <row r="234" spans="1:18" ht="18.75" customHeight="1" x14ac:dyDescent="0.35">
      <c r="A234" s="145"/>
      <c r="B234" s="145" t="s">
        <v>10</v>
      </c>
      <c r="C234" s="82">
        <v>61</v>
      </c>
      <c r="D234" s="20">
        <f>ROUND(C234/12,2)</f>
        <v>5.08</v>
      </c>
      <c r="E234" s="20">
        <f>D234*1</f>
        <v>5.08</v>
      </c>
      <c r="F234" s="21"/>
      <c r="G234" s="81">
        <v>86</v>
      </c>
      <c r="H234" s="20">
        <f>ROUND(G234/12,2)</f>
        <v>7.17</v>
      </c>
      <c r="I234" s="20">
        <f>H234*1</f>
        <v>7.17</v>
      </c>
      <c r="J234" s="21"/>
      <c r="K234" s="82"/>
      <c r="L234" s="20">
        <f>ROUND(K234/12,2)</f>
        <v>0</v>
      </c>
      <c r="M234" s="20">
        <f>L234*1</f>
        <v>0</v>
      </c>
      <c r="N234" s="21"/>
      <c r="O234" s="22">
        <f t="shared" si="129"/>
        <v>147</v>
      </c>
      <c r="P234" s="22">
        <f t="shared" si="134"/>
        <v>6.13</v>
      </c>
      <c r="Q234" s="22">
        <f t="shared" si="135"/>
        <v>6.13</v>
      </c>
      <c r="R234" s="23"/>
    </row>
    <row r="235" spans="1:18" ht="18.75" customHeight="1" x14ac:dyDescent="0.35">
      <c r="A235" s="145" t="s">
        <v>75</v>
      </c>
      <c r="B235" s="145" t="s">
        <v>8</v>
      </c>
      <c r="C235" s="82">
        <f>780+3661</f>
        <v>4441</v>
      </c>
      <c r="D235" s="20">
        <f>ROUND(C235/18,2)</f>
        <v>246.72</v>
      </c>
      <c r="E235" s="20"/>
      <c r="F235" s="21">
        <f>SUM(D235,E236:E237)</f>
        <v>248.97</v>
      </c>
      <c r="G235" s="81">
        <v>2080</v>
      </c>
      <c r="H235" s="20">
        <f>ROUND(G235/18,2)</f>
        <v>115.56</v>
      </c>
      <c r="I235" s="20"/>
      <c r="J235" s="21">
        <f>SUM(H235,I236:I237)</f>
        <v>117.06</v>
      </c>
      <c r="K235" s="82"/>
      <c r="L235" s="20">
        <f>ROUND(K235/18,2)</f>
        <v>0</v>
      </c>
      <c r="M235" s="20"/>
      <c r="N235" s="21">
        <f>SUM(L235,M236:M237)</f>
        <v>0</v>
      </c>
      <c r="O235" s="22">
        <f t="shared" si="129"/>
        <v>6521</v>
      </c>
      <c r="P235" s="22">
        <f>ROUND(O235/36,2)</f>
        <v>181.14</v>
      </c>
      <c r="Q235" s="22"/>
      <c r="R235" s="23">
        <f>SUM(P235,Q236:Q237)</f>
        <v>183.01999999999998</v>
      </c>
    </row>
    <row r="236" spans="1:18" ht="18.75" customHeight="1" x14ac:dyDescent="0.35">
      <c r="A236" s="145"/>
      <c r="B236" s="145" t="s">
        <v>9</v>
      </c>
      <c r="C236" s="82"/>
      <c r="D236" s="20">
        <f>ROUND(C236/12,2)</f>
        <v>0</v>
      </c>
      <c r="E236" s="20">
        <f>D236*1</f>
        <v>0</v>
      </c>
      <c r="F236" s="21"/>
      <c r="G236" s="81"/>
      <c r="H236" s="20">
        <f>ROUND(G236/12,2)</f>
        <v>0</v>
      </c>
      <c r="I236" s="20">
        <f>H236*1</f>
        <v>0</v>
      </c>
      <c r="J236" s="21"/>
      <c r="K236" s="82"/>
      <c r="L236" s="20">
        <f>ROUND(K236/12,2)</f>
        <v>0</v>
      </c>
      <c r="M236" s="20">
        <f>L236*1</f>
        <v>0</v>
      </c>
      <c r="N236" s="21"/>
      <c r="O236" s="22">
        <f t="shared" si="129"/>
        <v>0</v>
      </c>
      <c r="P236" s="22">
        <f t="shared" ref="P236:P237" si="136">ROUND(O236/24,2)</f>
        <v>0</v>
      </c>
      <c r="Q236" s="22">
        <f t="shared" ref="Q236:Q237" si="137">P236*1</f>
        <v>0</v>
      </c>
      <c r="R236" s="23"/>
    </row>
    <row r="237" spans="1:18" ht="18.75" customHeight="1" x14ac:dyDescent="0.35">
      <c r="A237" s="145"/>
      <c r="B237" s="145" t="s">
        <v>10</v>
      </c>
      <c r="C237" s="82">
        <f>18+9</f>
        <v>27</v>
      </c>
      <c r="D237" s="20">
        <f>ROUND(C237/12,2)</f>
        <v>2.25</v>
      </c>
      <c r="E237" s="20">
        <f>D237*1</f>
        <v>2.25</v>
      </c>
      <c r="F237" s="21"/>
      <c r="G237" s="81">
        <v>18</v>
      </c>
      <c r="H237" s="20">
        <f>ROUND(G237/12,2)</f>
        <v>1.5</v>
      </c>
      <c r="I237" s="20">
        <f>H237*1</f>
        <v>1.5</v>
      </c>
      <c r="J237" s="21"/>
      <c r="K237" s="82"/>
      <c r="L237" s="20">
        <f>ROUND(K237/12,2)</f>
        <v>0</v>
      </c>
      <c r="M237" s="20">
        <f>L237*1</f>
        <v>0</v>
      </c>
      <c r="N237" s="21"/>
      <c r="O237" s="22">
        <f t="shared" si="129"/>
        <v>45</v>
      </c>
      <c r="P237" s="22">
        <f t="shared" si="136"/>
        <v>1.88</v>
      </c>
      <c r="Q237" s="22">
        <f t="shared" si="137"/>
        <v>1.88</v>
      </c>
      <c r="R237" s="23"/>
    </row>
    <row r="238" spans="1:18" ht="18.75" customHeight="1" x14ac:dyDescent="0.35">
      <c r="A238" s="145" t="s">
        <v>122</v>
      </c>
      <c r="B238" s="145" t="s">
        <v>8</v>
      </c>
      <c r="C238" s="82">
        <v>8943</v>
      </c>
      <c r="D238" s="20">
        <f>ROUND(C238/18,2)</f>
        <v>496.83</v>
      </c>
      <c r="E238" s="20"/>
      <c r="F238" s="21">
        <f>SUM(D238,E239:E240)</f>
        <v>496.83</v>
      </c>
      <c r="G238" s="81"/>
      <c r="H238" s="20">
        <f>ROUND(G238/18,2)</f>
        <v>0</v>
      </c>
      <c r="I238" s="20"/>
      <c r="J238" s="21">
        <f>SUM(H238,I239:I240)</f>
        <v>0</v>
      </c>
      <c r="K238" s="82"/>
      <c r="L238" s="20">
        <f>ROUND(K238/18,2)</f>
        <v>0</v>
      </c>
      <c r="M238" s="20"/>
      <c r="N238" s="21">
        <f>SUM(L238,M239:M240)</f>
        <v>0</v>
      </c>
      <c r="O238" s="22"/>
      <c r="P238" s="22">
        <f>ROUND(O238/36,2)</f>
        <v>0</v>
      </c>
      <c r="Q238" s="22"/>
      <c r="R238" s="23">
        <f>SUM(P238,Q239:Q240)</f>
        <v>0</v>
      </c>
    </row>
    <row r="239" spans="1:18" ht="18.75" customHeight="1" x14ac:dyDescent="0.35">
      <c r="A239" s="145"/>
      <c r="B239" s="145" t="s">
        <v>9</v>
      </c>
      <c r="C239" s="82"/>
      <c r="D239" s="20">
        <f>ROUND(C239/12,2)</f>
        <v>0</v>
      </c>
      <c r="E239" s="20">
        <f>D239*1</f>
        <v>0</v>
      </c>
      <c r="F239" s="21"/>
      <c r="G239" s="81"/>
      <c r="H239" s="20">
        <f>ROUND(G239/12,2)</f>
        <v>0</v>
      </c>
      <c r="I239" s="20">
        <f>H239*1</f>
        <v>0</v>
      </c>
      <c r="J239" s="21"/>
      <c r="K239" s="82"/>
      <c r="L239" s="20">
        <f>ROUND(K239/12,2)</f>
        <v>0</v>
      </c>
      <c r="M239" s="20">
        <f>L239*1</f>
        <v>0</v>
      </c>
      <c r="N239" s="21"/>
      <c r="O239" s="22"/>
      <c r="P239" s="22">
        <f t="shared" ref="P239:P240" si="138">ROUND(O239/24,2)</f>
        <v>0</v>
      </c>
      <c r="Q239" s="22">
        <f t="shared" ref="Q239:Q240" si="139">P239*1</f>
        <v>0</v>
      </c>
      <c r="R239" s="23"/>
    </row>
    <row r="240" spans="1:18" ht="18.75" customHeight="1" x14ac:dyDescent="0.35">
      <c r="A240" s="145"/>
      <c r="B240" s="145" t="s">
        <v>10</v>
      </c>
      <c r="C240" s="82"/>
      <c r="D240" s="20">
        <f>ROUND(C240/12,2)</f>
        <v>0</v>
      </c>
      <c r="E240" s="20">
        <f>D240*1</f>
        <v>0</v>
      </c>
      <c r="F240" s="21"/>
      <c r="G240" s="81"/>
      <c r="H240" s="20">
        <f>ROUND(G240/12,2)</f>
        <v>0</v>
      </c>
      <c r="I240" s="20">
        <f>H240*1</f>
        <v>0</v>
      </c>
      <c r="J240" s="21"/>
      <c r="K240" s="82"/>
      <c r="L240" s="20">
        <f>ROUND(K240/12,2)</f>
        <v>0</v>
      </c>
      <c r="M240" s="20">
        <f>L240*1</f>
        <v>0</v>
      </c>
      <c r="N240" s="21"/>
      <c r="O240" s="22"/>
      <c r="P240" s="22">
        <f t="shared" si="138"/>
        <v>0</v>
      </c>
      <c r="Q240" s="22">
        <f t="shared" si="139"/>
        <v>0</v>
      </c>
      <c r="R240" s="23"/>
    </row>
    <row r="241" spans="1:18" ht="18.75" customHeight="1" x14ac:dyDescent="0.35">
      <c r="A241" s="145" t="s">
        <v>76</v>
      </c>
      <c r="B241" s="145" t="s">
        <v>8</v>
      </c>
      <c r="C241" s="82">
        <v>1539</v>
      </c>
      <c r="D241" s="20">
        <f>ROUND(C241/18,2)</f>
        <v>85.5</v>
      </c>
      <c r="E241" s="20"/>
      <c r="F241" s="21">
        <f>SUM(D241,E242:E243)</f>
        <v>85.5</v>
      </c>
      <c r="G241" s="81">
        <v>7197</v>
      </c>
      <c r="H241" s="20">
        <f>ROUND(G241/18,2)</f>
        <v>399.83</v>
      </c>
      <c r="I241" s="20"/>
      <c r="J241" s="21">
        <f>SUM(H241,I242:I243)</f>
        <v>399.83</v>
      </c>
      <c r="K241" s="82">
        <v>408</v>
      </c>
      <c r="L241" s="20">
        <f>ROUND(K241/18,2)</f>
        <v>22.67</v>
      </c>
      <c r="M241" s="20"/>
      <c r="N241" s="21">
        <f>SUM(L241,M242:M243)</f>
        <v>22.67</v>
      </c>
      <c r="O241" s="22">
        <f t="shared" si="129"/>
        <v>9144</v>
      </c>
      <c r="P241" s="22">
        <f>ROUND(O241/36,2)</f>
        <v>254</v>
      </c>
      <c r="Q241" s="22"/>
      <c r="R241" s="23">
        <f>SUM(P241,Q242:Q243)</f>
        <v>254</v>
      </c>
    </row>
    <row r="242" spans="1:18" ht="18.75" customHeight="1" x14ac:dyDescent="0.35">
      <c r="A242" s="145"/>
      <c r="B242" s="145" t="s">
        <v>9</v>
      </c>
      <c r="C242" s="82"/>
      <c r="D242" s="20">
        <f>ROUND(C242/12,2)</f>
        <v>0</v>
      </c>
      <c r="E242" s="20">
        <f>D242*1</f>
        <v>0</v>
      </c>
      <c r="F242" s="21"/>
      <c r="G242" s="81"/>
      <c r="H242" s="20">
        <f>ROUND(G242/12,2)</f>
        <v>0</v>
      </c>
      <c r="I242" s="20">
        <f>H242*1</f>
        <v>0</v>
      </c>
      <c r="J242" s="21"/>
      <c r="K242" s="82"/>
      <c r="L242" s="20">
        <f>ROUND(K242/12,2)</f>
        <v>0</v>
      </c>
      <c r="M242" s="20">
        <f>L242*1</f>
        <v>0</v>
      </c>
      <c r="N242" s="21"/>
      <c r="O242" s="22">
        <f t="shared" si="129"/>
        <v>0</v>
      </c>
      <c r="P242" s="22">
        <f t="shared" ref="P242:P243" si="140">ROUND(O242/24,2)</f>
        <v>0</v>
      </c>
      <c r="Q242" s="22">
        <f t="shared" ref="Q242:Q243" si="141">P242*1</f>
        <v>0</v>
      </c>
      <c r="R242" s="23"/>
    </row>
    <row r="243" spans="1:18" ht="18.75" customHeight="1" x14ac:dyDescent="0.35">
      <c r="A243" s="145"/>
      <c r="B243" s="145" t="s">
        <v>10</v>
      </c>
      <c r="C243" s="82"/>
      <c r="D243" s="20">
        <f>ROUND(C243/12,2)</f>
        <v>0</v>
      </c>
      <c r="E243" s="20">
        <f>D243*1</f>
        <v>0</v>
      </c>
      <c r="F243" s="21"/>
      <c r="G243" s="81"/>
      <c r="H243" s="20">
        <f>ROUND(G243/12,2)</f>
        <v>0</v>
      </c>
      <c r="I243" s="20">
        <f>H243*1</f>
        <v>0</v>
      </c>
      <c r="J243" s="21"/>
      <c r="K243" s="82"/>
      <c r="L243" s="20">
        <f>ROUND(K243/12,2)</f>
        <v>0</v>
      </c>
      <c r="M243" s="20">
        <f>L243*1</f>
        <v>0</v>
      </c>
      <c r="N243" s="21"/>
      <c r="O243" s="22">
        <f t="shared" si="129"/>
        <v>0</v>
      </c>
      <c r="P243" s="22">
        <f t="shared" si="140"/>
        <v>0</v>
      </c>
      <c r="Q243" s="22">
        <f t="shared" si="141"/>
        <v>0</v>
      </c>
      <c r="R243" s="23"/>
    </row>
    <row r="244" spans="1:18" ht="18.75" customHeight="1" x14ac:dyDescent="0.35">
      <c r="A244" s="145" t="s">
        <v>77</v>
      </c>
      <c r="B244" s="145" t="s">
        <v>8</v>
      </c>
      <c r="C244" s="82">
        <f>9234+2125</f>
        <v>11359</v>
      </c>
      <c r="D244" s="20">
        <f>ROUND(C244/18,2)</f>
        <v>631.05999999999995</v>
      </c>
      <c r="E244" s="20"/>
      <c r="F244" s="21">
        <f>SUM(D244,E245:E246)</f>
        <v>631.05999999999995</v>
      </c>
      <c r="G244" s="81">
        <v>7783</v>
      </c>
      <c r="H244" s="20">
        <f>ROUND(G244/18,2)</f>
        <v>432.39</v>
      </c>
      <c r="I244" s="20"/>
      <c r="J244" s="21">
        <f>SUM(H244,I245:I246)</f>
        <v>432.39</v>
      </c>
      <c r="K244" s="82"/>
      <c r="L244" s="20">
        <f>ROUND(K244/18,2)</f>
        <v>0</v>
      </c>
      <c r="M244" s="20"/>
      <c r="N244" s="21">
        <f>SUM(L244,M245:M246)</f>
        <v>0</v>
      </c>
      <c r="O244" s="22">
        <f t="shared" si="129"/>
        <v>19142</v>
      </c>
      <c r="P244" s="22">
        <f>ROUND(O244/36,2)</f>
        <v>531.72</v>
      </c>
      <c r="Q244" s="22"/>
      <c r="R244" s="23">
        <f>SUM(P244,Q245:Q246)</f>
        <v>531.72</v>
      </c>
    </row>
    <row r="245" spans="1:18" ht="18.75" customHeight="1" x14ac:dyDescent="0.35">
      <c r="A245" s="145"/>
      <c r="B245" s="145" t="s">
        <v>9</v>
      </c>
      <c r="C245" s="82"/>
      <c r="D245" s="20">
        <f>ROUND(C245/12,2)</f>
        <v>0</v>
      </c>
      <c r="E245" s="20">
        <f>D245*1</f>
        <v>0</v>
      </c>
      <c r="F245" s="21"/>
      <c r="G245" s="81"/>
      <c r="H245" s="20">
        <f>ROUND(G245/12,2)</f>
        <v>0</v>
      </c>
      <c r="I245" s="20">
        <f>H245*1</f>
        <v>0</v>
      </c>
      <c r="J245" s="21"/>
      <c r="K245" s="82"/>
      <c r="L245" s="20">
        <f>ROUND(K245/12,2)</f>
        <v>0</v>
      </c>
      <c r="M245" s="20">
        <f>L245*1</f>
        <v>0</v>
      </c>
      <c r="N245" s="21"/>
      <c r="O245" s="22">
        <f t="shared" si="129"/>
        <v>0</v>
      </c>
      <c r="P245" s="22">
        <f t="shared" ref="P245:P246" si="142">ROUND(O245/24,2)</f>
        <v>0</v>
      </c>
      <c r="Q245" s="22">
        <f t="shared" ref="Q245:Q246" si="143">P245*1</f>
        <v>0</v>
      </c>
      <c r="R245" s="23"/>
    </row>
    <row r="246" spans="1:18" ht="18.75" customHeight="1" x14ac:dyDescent="0.35">
      <c r="A246" s="145"/>
      <c r="B246" s="145" t="s">
        <v>10</v>
      </c>
      <c r="C246" s="82"/>
      <c r="D246" s="20">
        <f>ROUND(C246/12,2)</f>
        <v>0</v>
      </c>
      <c r="E246" s="20">
        <f>D246*1</f>
        <v>0</v>
      </c>
      <c r="F246" s="21"/>
      <c r="G246" s="81"/>
      <c r="H246" s="20">
        <f>ROUND(G246/12,2)</f>
        <v>0</v>
      </c>
      <c r="I246" s="20">
        <f>H246*1</f>
        <v>0</v>
      </c>
      <c r="J246" s="21"/>
      <c r="K246" s="82"/>
      <c r="L246" s="20">
        <f>ROUND(K246/12,2)</f>
        <v>0</v>
      </c>
      <c r="M246" s="20">
        <f>L246*1</f>
        <v>0</v>
      </c>
      <c r="N246" s="21"/>
      <c r="O246" s="22">
        <f t="shared" si="129"/>
        <v>0</v>
      </c>
      <c r="P246" s="22">
        <f t="shared" si="142"/>
        <v>0</v>
      </c>
      <c r="Q246" s="22">
        <f t="shared" si="143"/>
        <v>0</v>
      </c>
      <c r="R246" s="23"/>
    </row>
    <row r="247" spans="1:18" ht="18.75" customHeight="1" x14ac:dyDescent="0.35">
      <c r="A247" s="145" t="s">
        <v>78</v>
      </c>
      <c r="B247" s="145" t="s">
        <v>8</v>
      </c>
      <c r="C247" s="82">
        <v>1120</v>
      </c>
      <c r="D247" s="20">
        <f>ROUND(C247/18,2)</f>
        <v>62.22</v>
      </c>
      <c r="E247" s="20"/>
      <c r="F247" s="21">
        <f>SUM(D247,E248:E249)</f>
        <v>62.22</v>
      </c>
      <c r="G247" s="81"/>
      <c r="H247" s="20">
        <f>ROUND(G247/18,2)</f>
        <v>0</v>
      </c>
      <c r="I247" s="20"/>
      <c r="J247" s="21">
        <f>SUM(H247,I248:I249)</f>
        <v>0</v>
      </c>
      <c r="K247" s="82"/>
      <c r="L247" s="20">
        <f>ROUND(K247/18,2)</f>
        <v>0</v>
      </c>
      <c r="M247" s="20"/>
      <c r="N247" s="21">
        <f>SUM(L247,M248:M249)</f>
        <v>0</v>
      </c>
      <c r="O247" s="22">
        <f t="shared" si="129"/>
        <v>1120</v>
      </c>
      <c r="P247" s="22">
        <f>ROUND(O247/36,2)</f>
        <v>31.11</v>
      </c>
      <c r="Q247" s="22"/>
      <c r="R247" s="23">
        <f>SUM(P247,Q248:Q249)</f>
        <v>31.11</v>
      </c>
    </row>
    <row r="248" spans="1:18" ht="18.75" customHeight="1" x14ac:dyDescent="0.35">
      <c r="A248" s="145"/>
      <c r="B248" s="145" t="s">
        <v>9</v>
      </c>
      <c r="C248" s="82"/>
      <c r="D248" s="20">
        <f>ROUND(C248/12,2)</f>
        <v>0</v>
      </c>
      <c r="E248" s="20">
        <f>D248*1</f>
        <v>0</v>
      </c>
      <c r="F248" s="21"/>
      <c r="G248" s="81"/>
      <c r="H248" s="20">
        <f>ROUND(G248/12,2)</f>
        <v>0</v>
      </c>
      <c r="I248" s="20">
        <f>H248*1</f>
        <v>0</v>
      </c>
      <c r="J248" s="21"/>
      <c r="K248" s="82"/>
      <c r="L248" s="20">
        <f>ROUND(K248/12,2)</f>
        <v>0</v>
      </c>
      <c r="M248" s="20">
        <f>L248*1</f>
        <v>0</v>
      </c>
      <c r="N248" s="21"/>
      <c r="O248" s="22">
        <f t="shared" si="129"/>
        <v>0</v>
      </c>
      <c r="P248" s="22">
        <f t="shared" ref="P248:P249" si="144">ROUND(O248/24,2)</f>
        <v>0</v>
      </c>
      <c r="Q248" s="22">
        <f t="shared" ref="Q248:Q249" si="145">P248*1</f>
        <v>0</v>
      </c>
      <c r="R248" s="23"/>
    </row>
    <row r="249" spans="1:18" ht="18.75" customHeight="1" x14ac:dyDescent="0.35">
      <c r="A249" s="145"/>
      <c r="B249" s="145" t="s">
        <v>10</v>
      </c>
      <c r="C249" s="82"/>
      <c r="D249" s="20">
        <f>ROUND(C249/12,2)</f>
        <v>0</v>
      </c>
      <c r="E249" s="20">
        <f>D249*1</f>
        <v>0</v>
      </c>
      <c r="F249" s="21"/>
      <c r="G249" s="81"/>
      <c r="H249" s="20">
        <f>ROUND(G249/12,2)</f>
        <v>0</v>
      </c>
      <c r="I249" s="20">
        <f>H249*1</f>
        <v>0</v>
      </c>
      <c r="J249" s="21"/>
      <c r="K249" s="97"/>
      <c r="L249" s="38">
        <f>ROUND(K249/12,2)</f>
        <v>0</v>
      </c>
      <c r="M249" s="38">
        <f>L249*1</f>
        <v>0</v>
      </c>
      <c r="N249" s="39"/>
      <c r="O249" s="22">
        <f t="shared" si="129"/>
        <v>0</v>
      </c>
      <c r="P249" s="22">
        <f t="shared" si="144"/>
        <v>0</v>
      </c>
      <c r="Q249" s="22">
        <f t="shared" si="145"/>
        <v>0</v>
      </c>
      <c r="R249" s="23"/>
    </row>
    <row r="250" spans="1:18" ht="18.75" customHeight="1" x14ac:dyDescent="0.35">
      <c r="A250" s="177" t="s">
        <v>22</v>
      </c>
      <c r="B250" s="151" t="s">
        <v>8</v>
      </c>
      <c r="C250" s="93">
        <f>SUMIF($B$228:$B$249,"ปริญญาตรี",C228:C249)</f>
        <v>31546.400000000001</v>
      </c>
      <c r="D250" s="248">
        <f>ROUND(C250/18,2)</f>
        <v>1752.58</v>
      </c>
      <c r="E250" s="248"/>
      <c r="F250" s="249">
        <f>SUM(D250,E251:E252)</f>
        <v>1760.6599999999999</v>
      </c>
      <c r="G250" s="250">
        <f>SUMIF($B$228:$B$249,"ปริญญาตรี",G228:G249)</f>
        <v>20754</v>
      </c>
      <c r="H250" s="248">
        <f>ROUND(G250/18,2)</f>
        <v>1153</v>
      </c>
      <c r="I250" s="248"/>
      <c r="J250" s="249">
        <f>SUM(H250,I251:I252)</f>
        <v>1161.67</v>
      </c>
      <c r="K250" s="250">
        <f>SUMIF($B$228:$B$249,"ปริญญาตรี",K228:K249)</f>
        <v>408</v>
      </c>
      <c r="L250" s="251">
        <f>ROUND(K250/18,2)</f>
        <v>22.67</v>
      </c>
      <c r="M250" s="251"/>
      <c r="N250" s="252">
        <f>SUM(L250,M251:M252)</f>
        <v>22.67</v>
      </c>
      <c r="O250" s="253">
        <f t="shared" si="129"/>
        <v>52708.4</v>
      </c>
      <c r="P250" s="254">
        <f>ROUND(O250/36,2)</f>
        <v>1464.12</v>
      </c>
      <c r="Q250" s="254"/>
      <c r="R250" s="255">
        <f>SUM(P250,Q251:Q252)</f>
        <v>1472.5</v>
      </c>
    </row>
    <row r="251" spans="1:18" ht="18.75" customHeight="1" x14ac:dyDescent="0.35">
      <c r="A251" s="174" t="s">
        <v>22</v>
      </c>
      <c r="B251" s="151" t="s">
        <v>9</v>
      </c>
      <c r="C251" s="93">
        <f>SUMIF($B$228:$B$249,"ปริญญาโท",C228:C249)</f>
        <v>9</v>
      </c>
      <c r="D251" s="248">
        <f>ROUND(C251/12,2)</f>
        <v>0.75</v>
      </c>
      <c r="E251" s="248">
        <f>D251*1</f>
        <v>0.75</v>
      </c>
      <c r="F251" s="249"/>
      <c r="G251" s="250">
        <f>SUMIF($B$228:$B$249,"ปริญญาโท",G228:G249)</f>
        <v>0</v>
      </c>
      <c r="H251" s="248">
        <f>ROUND(G251/12,2)</f>
        <v>0</v>
      </c>
      <c r="I251" s="248">
        <f>H251*1</f>
        <v>0</v>
      </c>
      <c r="J251" s="249"/>
      <c r="K251" s="250">
        <f>SUMIF($B$228:$B$249,"ปริญญาโท",K228:K249)</f>
        <v>0</v>
      </c>
      <c r="L251" s="248">
        <f>ROUND(K251/12,2)</f>
        <v>0</v>
      </c>
      <c r="M251" s="248">
        <f>L251*1</f>
        <v>0</v>
      </c>
      <c r="N251" s="249"/>
      <c r="O251" s="253">
        <f t="shared" si="129"/>
        <v>9</v>
      </c>
      <c r="P251" s="254">
        <f t="shared" ref="P251:P252" si="146">ROUND(O251/24,2)</f>
        <v>0.38</v>
      </c>
      <c r="Q251" s="254">
        <f t="shared" ref="Q251:Q252" si="147">P251*1</f>
        <v>0.38</v>
      </c>
      <c r="R251" s="255"/>
    </row>
    <row r="252" spans="1:18" ht="18.75" customHeight="1" thickBot="1" x14ac:dyDescent="0.4">
      <c r="A252" s="175" t="s">
        <v>22</v>
      </c>
      <c r="B252" s="152" t="s">
        <v>10</v>
      </c>
      <c r="C252" s="94">
        <f>SUMIF($B$228:$B$249,"ปริญญาเอก",C228:C249)</f>
        <v>88</v>
      </c>
      <c r="D252" s="256">
        <f>ROUND(C252/12,2)</f>
        <v>7.33</v>
      </c>
      <c r="E252" s="256">
        <f>D252*1</f>
        <v>7.33</v>
      </c>
      <c r="F252" s="257"/>
      <c r="G252" s="258">
        <f>SUMIF($B$228:$B$249,"ปริญญาเอก",G228:G249)</f>
        <v>104</v>
      </c>
      <c r="H252" s="256">
        <f>ROUND(G252/12,2)</f>
        <v>8.67</v>
      </c>
      <c r="I252" s="256">
        <f>H252*1</f>
        <v>8.67</v>
      </c>
      <c r="J252" s="257"/>
      <c r="K252" s="258">
        <f>SUMIF($B$228:$B$249,"ปริญญาเอก",K228:K249)</f>
        <v>0</v>
      </c>
      <c r="L252" s="256">
        <f>ROUND(K252/12,2)</f>
        <v>0</v>
      </c>
      <c r="M252" s="256">
        <f>L252*1</f>
        <v>0</v>
      </c>
      <c r="N252" s="257"/>
      <c r="O252" s="259">
        <f t="shared" si="129"/>
        <v>192</v>
      </c>
      <c r="P252" s="260">
        <f t="shared" si="146"/>
        <v>8</v>
      </c>
      <c r="Q252" s="260">
        <f t="shared" si="147"/>
        <v>8</v>
      </c>
      <c r="R252" s="261"/>
    </row>
    <row r="253" spans="1:18" ht="18.75" customHeight="1" x14ac:dyDescent="0.35">
      <c r="A253" s="148" t="s">
        <v>79</v>
      </c>
      <c r="B253" s="149"/>
      <c r="C253" s="80"/>
      <c r="D253" s="28"/>
      <c r="E253" s="28"/>
      <c r="F253" s="29"/>
      <c r="G253" s="79"/>
      <c r="H253" s="28"/>
      <c r="I253" s="28"/>
      <c r="J253" s="29"/>
      <c r="K253" s="80"/>
      <c r="L253" s="28"/>
      <c r="M253" s="28"/>
      <c r="N253" s="29"/>
      <c r="O253" s="30"/>
      <c r="P253" s="30"/>
      <c r="Q253" s="30"/>
      <c r="R253" s="31"/>
    </row>
    <row r="254" spans="1:18" ht="18.75" customHeight="1" x14ac:dyDescent="0.35">
      <c r="A254" s="145" t="s">
        <v>7</v>
      </c>
      <c r="B254" s="145" t="s">
        <v>8</v>
      </c>
      <c r="C254" s="82">
        <f>804+8459+3981</f>
        <v>13244</v>
      </c>
      <c r="D254" s="20">
        <f>ROUND(C254/18,2)</f>
        <v>735.78</v>
      </c>
      <c r="E254" s="20"/>
      <c r="F254" s="21">
        <f>SUM(D254,E255:E256)</f>
        <v>735.78</v>
      </c>
      <c r="G254" s="81">
        <v>8728</v>
      </c>
      <c r="H254" s="20">
        <f>ROUND(G254/18,2)</f>
        <v>484.89</v>
      </c>
      <c r="I254" s="20"/>
      <c r="J254" s="21">
        <f>SUM(H254,I255:I256)</f>
        <v>484.89</v>
      </c>
      <c r="K254" s="82">
        <v>12</v>
      </c>
      <c r="L254" s="20">
        <f>ROUND(K254/18,2)</f>
        <v>0.67</v>
      </c>
      <c r="M254" s="20"/>
      <c r="N254" s="21">
        <f>SUM(L254,M255:M256)</f>
        <v>0.67</v>
      </c>
      <c r="O254" s="22">
        <f t="shared" si="129"/>
        <v>21984</v>
      </c>
      <c r="P254" s="22">
        <f>ROUND(O254/36,2)</f>
        <v>610.66999999999996</v>
      </c>
      <c r="Q254" s="22"/>
      <c r="R254" s="23">
        <f>SUM(P254,Q255:Q256)</f>
        <v>610.66999999999996</v>
      </c>
    </row>
    <row r="255" spans="1:18" ht="18.75" customHeight="1" x14ac:dyDescent="0.35">
      <c r="A255" s="163"/>
      <c r="B255" s="145" t="s">
        <v>9</v>
      </c>
      <c r="C255" s="82"/>
      <c r="D255" s="20">
        <f>ROUND(C255/12,2)</f>
        <v>0</v>
      </c>
      <c r="E255" s="20">
        <f>D255*1.8</f>
        <v>0</v>
      </c>
      <c r="F255" s="21"/>
      <c r="G255" s="81"/>
      <c r="H255" s="20">
        <f>ROUND(G255/12,2)</f>
        <v>0</v>
      </c>
      <c r="I255" s="20">
        <f>H255*1.8</f>
        <v>0</v>
      </c>
      <c r="J255" s="21"/>
      <c r="K255" s="82"/>
      <c r="L255" s="20">
        <f>ROUND(K255/12,2)</f>
        <v>0</v>
      </c>
      <c r="M255" s="20">
        <f>L255*1.8</f>
        <v>0</v>
      </c>
      <c r="N255" s="21"/>
      <c r="O255" s="22">
        <f t="shared" si="129"/>
        <v>0</v>
      </c>
      <c r="P255" s="22">
        <f t="shared" ref="P255:P256" si="148">ROUND(O255/24,2)</f>
        <v>0</v>
      </c>
      <c r="Q255" s="22">
        <f t="shared" ref="Q255:Q256" si="149">P255*1.8</f>
        <v>0</v>
      </c>
      <c r="R255" s="23"/>
    </row>
    <row r="256" spans="1:18" ht="18.75" customHeight="1" thickBot="1" x14ac:dyDescent="0.4">
      <c r="A256" s="164"/>
      <c r="B256" s="146" t="s">
        <v>10</v>
      </c>
      <c r="C256" s="84"/>
      <c r="D256" s="24">
        <f>ROUND(C256/12,2)</f>
        <v>0</v>
      </c>
      <c r="E256" s="24">
        <f>D256*1.8</f>
        <v>0</v>
      </c>
      <c r="F256" s="25"/>
      <c r="G256" s="83"/>
      <c r="H256" s="24">
        <f>ROUND(G256/12,2)</f>
        <v>0</v>
      </c>
      <c r="I256" s="24">
        <f>H256*1.8</f>
        <v>0</v>
      </c>
      <c r="J256" s="25"/>
      <c r="K256" s="84"/>
      <c r="L256" s="24">
        <f>ROUND(K256/12,2)</f>
        <v>0</v>
      </c>
      <c r="M256" s="24">
        <f>L256*1.8</f>
        <v>0</v>
      </c>
      <c r="N256" s="25"/>
      <c r="O256" s="92">
        <f t="shared" si="129"/>
        <v>0</v>
      </c>
      <c r="P256" s="26">
        <f t="shared" si="148"/>
        <v>0</v>
      </c>
      <c r="Q256" s="26">
        <f t="shared" si="149"/>
        <v>0</v>
      </c>
      <c r="R256" s="27"/>
    </row>
    <row r="257" spans="1:26" ht="18.75" customHeight="1" x14ac:dyDescent="0.35">
      <c r="A257" s="148" t="s">
        <v>80</v>
      </c>
      <c r="B257" s="149"/>
      <c r="C257" s="80"/>
      <c r="D257" s="28"/>
      <c r="E257" s="28"/>
      <c r="F257" s="29"/>
      <c r="G257" s="79"/>
      <c r="H257" s="28"/>
      <c r="I257" s="28"/>
      <c r="J257" s="29"/>
      <c r="K257" s="80"/>
      <c r="L257" s="28"/>
      <c r="M257" s="28"/>
      <c r="N257" s="29"/>
      <c r="O257" s="30"/>
      <c r="P257" s="30"/>
      <c r="Q257" s="30"/>
      <c r="R257" s="31"/>
    </row>
    <row r="258" spans="1:26" ht="18.75" customHeight="1" x14ac:dyDescent="0.35">
      <c r="A258" s="145" t="s">
        <v>7</v>
      </c>
      <c r="B258" s="145" t="s">
        <v>8</v>
      </c>
      <c r="C258" s="82"/>
      <c r="D258" s="20">
        <f>ROUND(C258/18,2)</f>
        <v>0</v>
      </c>
      <c r="E258" s="20"/>
      <c r="F258" s="21">
        <f>SUM(D258,E259:E260)</f>
        <v>4.5</v>
      </c>
      <c r="G258" s="81"/>
      <c r="H258" s="20">
        <f>ROUND(G258/18,2)</f>
        <v>0</v>
      </c>
      <c r="I258" s="20"/>
      <c r="J258" s="21">
        <f>SUM(H258,I259:I260)</f>
        <v>0</v>
      </c>
      <c r="K258" s="82"/>
      <c r="L258" s="20">
        <f>ROUND(K258/18,2)</f>
        <v>0</v>
      </c>
      <c r="M258" s="20"/>
      <c r="N258" s="21">
        <f>SUM(L258,M259:M260)</f>
        <v>0</v>
      </c>
      <c r="O258" s="22">
        <f t="shared" si="129"/>
        <v>0</v>
      </c>
      <c r="P258" s="22">
        <f>ROUND(O258/36,2)</f>
        <v>0</v>
      </c>
      <c r="Q258" s="22"/>
      <c r="R258" s="23">
        <f>SUM(P258,Q259:Q260)</f>
        <v>2.25</v>
      </c>
    </row>
    <row r="259" spans="1:26" ht="18.75" customHeight="1" x14ac:dyDescent="0.35">
      <c r="A259" s="176"/>
      <c r="B259" s="145" t="s">
        <v>9</v>
      </c>
      <c r="C259" s="82">
        <v>12</v>
      </c>
      <c r="D259" s="20">
        <f>ROUND(C259/12,2)</f>
        <v>1</v>
      </c>
      <c r="E259" s="20">
        <f>D259*1.8</f>
        <v>1.8</v>
      </c>
      <c r="F259" s="21"/>
      <c r="G259" s="81"/>
      <c r="H259" s="20">
        <f>ROUND(G259/12,2)</f>
        <v>0</v>
      </c>
      <c r="I259" s="20">
        <f>H259*1.8</f>
        <v>0</v>
      </c>
      <c r="J259" s="21"/>
      <c r="K259" s="82"/>
      <c r="L259" s="20">
        <f>ROUND(K259/12,2)</f>
        <v>0</v>
      </c>
      <c r="M259" s="20">
        <f>L259*1.8</f>
        <v>0</v>
      </c>
      <c r="N259" s="21"/>
      <c r="O259" s="22">
        <f t="shared" si="129"/>
        <v>12</v>
      </c>
      <c r="P259" s="22">
        <f t="shared" ref="P259:P260" si="150">ROUND(O259/24,2)</f>
        <v>0.5</v>
      </c>
      <c r="Q259" s="22">
        <f t="shared" ref="Q259:Q260" si="151">P259*1.8</f>
        <v>0.9</v>
      </c>
      <c r="R259" s="23"/>
    </row>
    <row r="260" spans="1:26" ht="18.75" customHeight="1" thickBot="1" x14ac:dyDescent="0.4">
      <c r="A260" s="164"/>
      <c r="B260" s="146" t="s">
        <v>10</v>
      </c>
      <c r="C260" s="84">
        <v>18</v>
      </c>
      <c r="D260" s="24">
        <f>ROUND(C260/12,2)</f>
        <v>1.5</v>
      </c>
      <c r="E260" s="24">
        <f>D260*1.8</f>
        <v>2.7</v>
      </c>
      <c r="F260" s="25"/>
      <c r="G260" s="83"/>
      <c r="H260" s="24">
        <f>ROUND(G260/12,2)</f>
        <v>0</v>
      </c>
      <c r="I260" s="24">
        <f>H260*1.8</f>
        <v>0</v>
      </c>
      <c r="J260" s="25"/>
      <c r="K260" s="84"/>
      <c r="L260" s="24">
        <f>ROUND(K260/12,2)</f>
        <v>0</v>
      </c>
      <c r="M260" s="24">
        <f>L260*1.8</f>
        <v>0</v>
      </c>
      <c r="N260" s="25"/>
      <c r="O260" s="92">
        <f t="shared" si="129"/>
        <v>18</v>
      </c>
      <c r="P260" s="26">
        <f t="shared" si="150"/>
        <v>0.75</v>
      </c>
      <c r="Q260" s="26">
        <f t="shared" si="151"/>
        <v>1.35</v>
      </c>
      <c r="R260" s="27"/>
    </row>
    <row r="261" spans="1:26" ht="18.75" customHeight="1" x14ac:dyDescent="0.35">
      <c r="A261" s="148" t="s">
        <v>81</v>
      </c>
      <c r="B261" s="149"/>
      <c r="C261" s="80"/>
      <c r="D261" s="28"/>
      <c r="E261" s="28"/>
      <c r="F261" s="29"/>
      <c r="G261" s="79"/>
      <c r="H261" s="28"/>
      <c r="I261" s="28"/>
      <c r="J261" s="29"/>
      <c r="K261" s="80"/>
      <c r="L261" s="28"/>
      <c r="M261" s="28"/>
      <c r="N261" s="29"/>
      <c r="O261" s="30"/>
      <c r="P261" s="30"/>
      <c r="Q261" s="30"/>
      <c r="R261" s="31"/>
      <c r="S261" s="65"/>
      <c r="T261" s="65"/>
      <c r="U261" s="65"/>
      <c r="V261" s="65"/>
      <c r="W261" s="65"/>
      <c r="X261" s="65"/>
      <c r="Y261" s="65"/>
      <c r="Z261" s="65"/>
    </row>
    <row r="262" spans="1:26" ht="18.75" customHeight="1" x14ac:dyDescent="0.35">
      <c r="A262" s="145" t="s">
        <v>7</v>
      </c>
      <c r="B262" s="145" t="s">
        <v>8</v>
      </c>
      <c r="C262" s="82">
        <v>18428.099999999999</v>
      </c>
      <c r="D262" s="20">
        <f>ROUND(C262/18,2)</f>
        <v>1023.78</v>
      </c>
      <c r="E262" s="20"/>
      <c r="F262" s="21">
        <f>SUM(D262,E263:E264)</f>
        <v>1023.78</v>
      </c>
      <c r="G262" s="81">
        <v>17201</v>
      </c>
      <c r="H262" s="20">
        <f>ROUND(G262/18,2)</f>
        <v>955.61</v>
      </c>
      <c r="I262" s="20"/>
      <c r="J262" s="21">
        <f>SUM(H262,I263:I264)</f>
        <v>955.61</v>
      </c>
      <c r="K262" s="82"/>
      <c r="L262" s="20">
        <f>ROUND(K262/18,2)</f>
        <v>0</v>
      </c>
      <c r="M262" s="20"/>
      <c r="N262" s="21">
        <f>SUM(L262,M263:M264)</f>
        <v>0</v>
      </c>
      <c r="O262" s="22">
        <f t="shared" si="129"/>
        <v>35629.1</v>
      </c>
      <c r="P262" s="22">
        <f>ROUND(O262/36,2)</f>
        <v>989.7</v>
      </c>
      <c r="Q262" s="22"/>
      <c r="R262" s="23">
        <f>SUM(P262,Q263:Q264)</f>
        <v>989.7</v>
      </c>
      <c r="S262" s="65"/>
      <c r="T262" s="65"/>
      <c r="U262" s="65"/>
      <c r="V262" s="65"/>
      <c r="W262" s="65"/>
      <c r="X262" s="65"/>
      <c r="Y262" s="65"/>
      <c r="Z262" s="65"/>
    </row>
    <row r="263" spans="1:26" ht="18.75" customHeight="1" x14ac:dyDescent="0.35">
      <c r="A263" s="176"/>
      <c r="B263" s="145" t="s">
        <v>9</v>
      </c>
      <c r="C263" s="82"/>
      <c r="D263" s="20">
        <f>ROUND(C263/12,2)</f>
        <v>0</v>
      </c>
      <c r="E263" s="20">
        <f>D263*1.8</f>
        <v>0</v>
      </c>
      <c r="F263" s="21"/>
      <c r="G263" s="81"/>
      <c r="H263" s="20">
        <f>ROUND(G263/12,2)</f>
        <v>0</v>
      </c>
      <c r="I263" s="20">
        <f>H263*1.8</f>
        <v>0</v>
      </c>
      <c r="J263" s="21"/>
      <c r="K263" s="82"/>
      <c r="L263" s="20">
        <f>ROUND(K263/12,2)</f>
        <v>0</v>
      </c>
      <c r="M263" s="20">
        <f>L263*1.8</f>
        <v>0</v>
      </c>
      <c r="N263" s="21"/>
      <c r="O263" s="22">
        <f t="shared" si="129"/>
        <v>0</v>
      </c>
      <c r="P263" s="22">
        <f t="shared" ref="P263:P264" si="152">ROUND(O263/24,2)</f>
        <v>0</v>
      </c>
      <c r="Q263" s="22">
        <f t="shared" ref="Q263:Q264" si="153">P263*1.8</f>
        <v>0</v>
      </c>
      <c r="R263" s="23"/>
      <c r="S263" s="65"/>
      <c r="T263" s="65"/>
      <c r="U263" s="65"/>
      <c r="V263" s="65"/>
      <c r="W263" s="65"/>
      <c r="X263" s="65"/>
      <c r="Y263" s="65"/>
      <c r="Z263" s="65"/>
    </row>
    <row r="264" spans="1:26" ht="18.75" customHeight="1" thickBot="1" x14ac:dyDescent="0.4">
      <c r="A264" s="164"/>
      <c r="B264" s="146" t="s">
        <v>10</v>
      </c>
      <c r="C264" s="84"/>
      <c r="D264" s="24">
        <f>ROUND(C264/12,2)</f>
        <v>0</v>
      </c>
      <c r="E264" s="24">
        <f>D264*1.8</f>
        <v>0</v>
      </c>
      <c r="F264" s="25"/>
      <c r="G264" s="83"/>
      <c r="H264" s="24">
        <f>ROUND(G264/12,2)</f>
        <v>0</v>
      </c>
      <c r="I264" s="24">
        <f>H264*1.8</f>
        <v>0</v>
      </c>
      <c r="J264" s="25"/>
      <c r="K264" s="84"/>
      <c r="L264" s="24">
        <f>ROUND(K264/12,2)</f>
        <v>0</v>
      </c>
      <c r="M264" s="24">
        <f>L264*1.8</f>
        <v>0</v>
      </c>
      <c r="N264" s="25"/>
      <c r="O264" s="92">
        <f t="shared" si="129"/>
        <v>0</v>
      </c>
      <c r="P264" s="26">
        <f t="shared" si="152"/>
        <v>0</v>
      </c>
      <c r="Q264" s="26">
        <f t="shared" si="153"/>
        <v>0</v>
      </c>
      <c r="R264" s="27"/>
      <c r="S264" s="65"/>
      <c r="T264" s="65"/>
      <c r="U264" s="65"/>
      <c r="V264" s="65"/>
      <c r="W264" s="65"/>
      <c r="X264" s="65"/>
      <c r="Y264" s="65"/>
      <c r="Z264" s="65"/>
    </row>
    <row r="265" spans="1:26" ht="18.75" customHeight="1" x14ac:dyDescent="0.35">
      <c r="A265" s="165" t="s">
        <v>82</v>
      </c>
      <c r="B265" s="155" t="s">
        <v>8</v>
      </c>
      <c r="C265" s="223">
        <f>SUMIFS(C4:C264, $B$4:$B$264, "ปริญญาตรี", $A$4:$A$264, "&lt;&gt;รวมทั้งคณะ")</f>
        <v>378028.47599999997</v>
      </c>
      <c r="D265" s="224">
        <f>SUMIFS(D4:D264, $B$4:$B$264, "ปริญญาตรี", $A$4:$A$264, "&lt;&gt;รวมทั้งคณะ")</f>
        <v>21001.599999999999</v>
      </c>
      <c r="E265" s="225"/>
      <c r="F265" s="226">
        <f>ROUND(SUM(D265,E266:E268),2)</f>
        <v>21495.8</v>
      </c>
      <c r="G265" s="223">
        <f>SUMIFS(G4:G264, $B$4:$B$264, "ปริญญาตรี", $A$4:$A$264, "&lt;&gt;รวมทั้งคณะ")</f>
        <v>354310</v>
      </c>
      <c r="H265" s="224">
        <f>SUMIFS(H4:H264, $B$4:$B$264, "ปริญญาตรี", $A$4:$A$264, "&lt;&gt;รวมทั้งคณะ")</f>
        <v>19683.890000000003</v>
      </c>
      <c r="I265" s="225"/>
      <c r="J265" s="226">
        <f>ROUND(SUM(H265,I266:I268),2)</f>
        <v>20293.95</v>
      </c>
      <c r="K265" s="223">
        <f>SUMIFS(K4:K264, $B$4:$B$264, "ปริญญาตรี", $A$4:$A$264, "&lt;&gt;รวมทั้งคณะ")</f>
        <v>5329</v>
      </c>
      <c r="L265" s="224">
        <f>SUMIFS(L4:L264, $B$4:$B$264, "ปริญญาตรี", $A$4:$A$264, "&lt;&gt;รวมทั้งคณะ")</f>
        <v>296.06000000000012</v>
      </c>
      <c r="M265" s="225"/>
      <c r="N265" s="226">
        <f>ROUND(SUM(L265,M266:M268),2)</f>
        <v>313.81</v>
      </c>
      <c r="O265" s="223">
        <f>SUMIFS(O4:O264, $B$4:$B$264, "ปริญญาตรี", $A$4:$A$264, "&lt;&gt;รวมทั้งคณะ")</f>
        <v>727544.47600000002</v>
      </c>
      <c r="P265" s="224">
        <f>SUMIFS(P4:P264, $B$4:$B$264, "ปริญญาตรี", $A$4:$A$264, "&lt;&gt;รวมทั้งคณะ")</f>
        <v>20209.599999999999</v>
      </c>
      <c r="Q265" s="225"/>
      <c r="R265" s="226">
        <f>ROUND(SUM(P265,Q266:Q268),2)</f>
        <v>20770.73</v>
      </c>
    </row>
    <row r="266" spans="1:26" ht="18.75" customHeight="1" x14ac:dyDescent="0.35">
      <c r="A266" s="166" t="s">
        <v>82</v>
      </c>
      <c r="B266" s="155" t="s">
        <v>64</v>
      </c>
      <c r="C266" s="42">
        <f>SUMIFS(C4:C264, $B$4:$B$264, "ป.บัณฑิต", $A$4:$A$264, "&lt;&gt;รวมทั้งคณะ")</f>
        <v>0</v>
      </c>
      <c r="D266" s="46">
        <f>SUMIFS(D4:D264, $B$4:$B$264, "ป.บัณฑิต", $A$4:$A$264, "&lt;&gt;รวมทั้งคณะ")</f>
        <v>0</v>
      </c>
      <c r="E266" s="129">
        <f>SUMIFS(E4:E264, $B$4:$B$264, "ป.บัณฑิต", $A$4:$A$264, "&lt;&gt;รวมทั้งคณะ")</f>
        <v>0</v>
      </c>
      <c r="F266" s="45"/>
      <c r="G266" s="42">
        <f>SUMIFS(G4:G264, $B$4:$B$264, "ป.บัณฑิต", $A$4:$A$264, "&lt;&gt;รวมทั้งคณะ")</f>
        <v>0</v>
      </c>
      <c r="H266" s="46">
        <f>SUMIFS(H4:H264, $B$4:$B$264, "ป.บัณฑิต", $A$4:$A$264, "&lt;&gt;รวมทั้งคณะ")</f>
        <v>0</v>
      </c>
      <c r="I266" s="129">
        <f>SUMIFS(I4:I264, $B$4:$B$264, "ป.บัณฑิต", $A$4:$A$264, "&lt;&gt;รวมทั้งคณะ")</f>
        <v>0</v>
      </c>
      <c r="J266" s="45"/>
      <c r="K266" s="42">
        <f>SUMIFS(K4:K264, $B$4:$B$264, "ป.บัณฑิต", $A$4:$A$264, "&lt;&gt;รวมทั้งคณะ")</f>
        <v>0</v>
      </c>
      <c r="L266" s="46">
        <f>SUMIFS(L4:L264, $B$4:$B$264, "ป.บัณฑิต", $A$4:$A$264, "&lt;&gt;รวมทั้งคณะ")</f>
        <v>0</v>
      </c>
      <c r="M266" s="129">
        <f>SUMIFS(M4:M264, $B$4:$B$264, "ป.บัณฑิต", $A$4:$A$264, "&lt;&gt;รวมทั้งคณะ")</f>
        <v>0</v>
      </c>
      <c r="N266" s="45"/>
      <c r="O266" s="42">
        <f>SUMIFS(O4:O264, $B$4:$B$264, "ป.บัณฑิต", $A$4:$A$264, "&lt;&gt;รวมทั้งคณะ")</f>
        <v>0</v>
      </c>
      <c r="P266" s="46">
        <f>SUMIFS(P4:P264, $B$4:$B$264, "ป.บัณฑิต", $A$4:$A$264, "&lt;&gt;รวมทั้งคณะ")</f>
        <v>0</v>
      </c>
      <c r="Q266" s="129">
        <f>SUMIFS(Q4:Q264, $B$4:$B$264, "ป.บัณฑิต", $A$4:$A$264, "&lt;&gt;รวมทั้งคณะ")</f>
        <v>0</v>
      </c>
      <c r="R266" s="45"/>
    </row>
    <row r="267" spans="1:26" ht="18.75" customHeight="1" x14ac:dyDescent="0.35">
      <c r="A267" s="166" t="s">
        <v>82</v>
      </c>
      <c r="B267" s="155" t="s">
        <v>9</v>
      </c>
      <c r="C267" s="42">
        <f>SUMIFS(C4:C264, $B$4:$B$264, "ปริญญาโท", $A$4:$A$264, "&lt;&gt;รวมทั้งคณะ")</f>
        <v>2787</v>
      </c>
      <c r="D267" s="46">
        <f>SUMIFS(D4:D264, $B$4:$B$264, "ปริญญาโท", $A$4:$A$264, "&lt;&gt;รวมทั้งคณะ")</f>
        <v>232.25</v>
      </c>
      <c r="E267" s="40">
        <f>SUMIFS(E4:E264, $B$4:$B$264, "ปริญญาโท", $A$4:$A$264, "&lt;&gt;รวมทั้งคณะ")</f>
        <v>320.62</v>
      </c>
      <c r="F267" s="45"/>
      <c r="G267" s="42">
        <f>SUMIFS(G4:G264, $B$4:$B$264, "ปริญญาโท", $A$4:$A$264, "&lt;&gt;รวมทั้งคณะ")</f>
        <v>3033</v>
      </c>
      <c r="H267" s="46">
        <f>SUMIFS(H4:H264, $B$4:$B$264, "ปริญญาโท", $A$4:$A$264, "&lt;&gt;รวมทั้งคณะ")</f>
        <v>252.75</v>
      </c>
      <c r="I267" s="40">
        <f>SUMIFS(I4:I264, $B$4:$B$264, "ปริญญาโท", $A$4:$A$264, "&lt;&gt;รวมทั้งคณะ")</f>
        <v>374.45500000000004</v>
      </c>
      <c r="J267" s="45"/>
      <c r="K267" s="42">
        <f>SUMIFS(K4:K264, $B$4:$B$264, "ปริญญาโท", $A$4:$A$264, "&lt;&gt;รวมทั้งคณะ")</f>
        <v>141</v>
      </c>
      <c r="L267" s="46">
        <f>SUMIFS(L4:L264, $B$4:$B$264, "ปริญญาโท", $A$4:$A$264, "&lt;&gt;รวมทั้งคณะ")</f>
        <v>11.75</v>
      </c>
      <c r="M267" s="40">
        <f>SUMIFS(M4:M264, $B$4:$B$264, "ปริญญาโท", $A$4:$A$264, "&lt;&gt;รวมทั้งคณะ")</f>
        <v>17.75</v>
      </c>
      <c r="N267" s="45"/>
      <c r="O267" s="42">
        <f>SUMIFS(O4:O264, $B$4:$B$264, "ปริญญาโท", $A$4:$A$264, "&lt;&gt;รวมทั้งคณะ")</f>
        <v>5961</v>
      </c>
      <c r="P267" s="46">
        <f>SUMIFS(P4:P264, $B$4:$B$264, "ปริญญาโท", $A$4:$A$264, "&lt;&gt;รวมทั้งคณะ")</f>
        <v>248.40999999999997</v>
      </c>
      <c r="Q267" s="40">
        <f>SUMIFS(Q4:Q264, $B$4:$B$264, "ปริญญาโท", $A$4:$A$264, "&lt;&gt;รวมทั้งคณะ")</f>
        <v>356.47299999999996</v>
      </c>
      <c r="R267" s="45"/>
    </row>
    <row r="268" spans="1:26" ht="18.75" customHeight="1" thickBot="1" x14ac:dyDescent="0.4">
      <c r="A268" s="167" t="s">
        <v>82</v>
      </c>
      <c r="B268" s="156" t="s">
        <v>10</v>
      </c>
      <c r="C268" s="49">
        <f>SUMIFS(C4:C264, $B$4:$B$264, "ปริญญาเอก", $A$4:$A$264, "&lt;&gt;รวมทั้งคณะ")</f>
        <v>1341</v>
      </c>
      <c r="D268" s="50">
        <f>SUMIFS(D4:D264, $B$4:$B$264, "ปริญญาเอก", $A$4:$A$264, "&lt;&gt;รวมทั้งคณะ")</f>
        <v>111.76</v>
      </c>
      <c r="E268" s="47">
        <f>SUMIFS(E4:E264, $B$4:$B$264, "ปริญญาเอก", $A$4:$A$264, "&lt;&gt;รวมทั้งคณะ")</f>
        <v>173.57999999999998</v>
      </c>
      <c r="F268" s="48"/>
      <c r="G268" s="49">
        <f>SUMIFS(G4:G264, $B$4:$B$264, "ปริญญาเอก", $A$4:$A$264, "&lt;&gt;รวมทั้งคณะ")</f>
        <v>1775</v>
      </c>
      <c r="H268" s="50">
        <f>SUMIFS(H4:H264, $B$4:$B$264, "ปริญญาเอก", $A$4:$A$264, "&lt;&gt;รวมทั้งคณะ")</f>
        <v>147.91999999999996</v>
      </c>
      <c r="I268" s="47">
        <f>SUMIFS(I4:I264, $B$4:$B$264, "ปริญญาเอก", $A$4:$A$264, "&lt;&gt;รวมทั้งคณะ")</f>
        <v>235.60499999999999</v>
      </c>
      <c r="J268" s="48"/>
      <c r="K268" s="49">
        <f>SUMIFS(K4:K264, $B$4:$B$264, "ปริญญาเอก", $A$4:$A$264, "&lt;&gt;รวมทั้งคณะ")</f>
        <v>0</v>
      </c>
      <c r="L268" s="50">
        <f>SUMIFS(L4:L264, $B$4:$B$264, "ปริญญาเอก", $A$4:$A$264, "&lt;&gt;รวมทั้งคณะ")</f>
        <v>0</v>
      </c>
      <c r="M268" s="47">
        <f>SUMIFS(M4:M264, $B$4:$B$264, "ปริญญาเอก", $A$4:$A$264, "&lt;&gt;รวมทั้งคณะ")</f>
        <v>0</v>
      </c>
      <c r="N268" s="48"/>
      <c r="O268" s="49">
        <f>SUMIFS(O4:O264, $B$4:$B$264, "ปริญญาเอก", $A$4:$A$264, "&lt;&gt;รวมทั้งคณะ")</f>
        <v>3116</v>
      </c>
      <c r="P268" s="50">
        <f>SUMIFS(P4:P264, $B$4:$B$264, "ปริญญาเอก", $A$4:$A$264, "&lt;&gt;รวมทั้งคณะ")</f>
        <v>129.88</v>
      </c>
      <c r="Q268" s="47">
        <f>SUMIFS(Q4:Q264, $B$4:$B$264, "ปริญญาเอก", $A$4:$A$264, "&lt;&gt;รวมทั้งคณะ")</f>
        <v>204.65299999999996</v>
      </c>
      <c r="R268" s="48"/>
    </row>
    <row r="269" spans="1:26" s="51" customFormat="1" ht="18.75" customHeight="1" x14ac:dyDescent="0.3">
      <c r="C269" s="141"/>
      <c r="D269" s="141"/>
      <c r="E269" s="141"/>
      <c r="F269" s="141"/>
      <c r="G269" s="141"/>
      <c r="H269" s="141"/>
      <c r="I269" s="141"/>
      <c r="J269" s="141"/>
      <c r="K269" s="141"/>
      <c r="L269" s="141"/>
      <c r="M269" s="141"/>
      <c r="N269" s="141"/>
      <c r="O269" s="141"/>
      <c r="P269" s="141"/>
      <c r="Q269" s="141"/>
      <c r="R269" s="141"/>
    </row>
    <row r="270" spans="1:26" ht="18.75" customHeight="1" x14ac:dyDescent="0.35">
      <c r="A270" s="162" t="s">
        <v>83</v>
      </c>
      <c r="B270" s="157"/>
      <c r="C270" s="142"/>
      <c r="D270" s="52"/>
      <c r="E270" s="52"/>
      <c r="F270" s="52"/>
      <c r="G270" s="52"/>
      <c r="H270" s="52"/>
      <c r="I270" s="52"/>
      <c r="J270" s="52"/>
      <c r="K270" s="142"/>
      <c r="L270" s="52"/>
      <c r="M270" s="52"/>
      <c r="N270" s="52"/>
      <c r="O270" s="53"/>
      <c r="P270" s="52"/>
      <c r="Q270" s="52"/>
      <c r="R270" s="53"/>
    </row>
    <row r="271" spans="1:26" ht="18.75" customHeight="1" x14ac:dyDescent="0.35">
      <c r="A271" s="144" t="s">
        <v>84</v>
      </c>
      <c r="B271" s="158"/>
      <c r="C271" s="82"/>
      <c r="D271" s="20"/>
      <c r="E271" s="20"/>
      <c r="F271" s="21"/>
      <c r="G271" s="81"/>
      <c r="H271" s="20"/>
      <c r="I271" s="20"/>
      <c r="J271" s="21"/>
      <c r="K271" s="82"/>
      <c r="L271" s="20"/>
      <c r="M271" s="20"/>
      <c r="N271" s="21"/>
      <c r="O271" s="34"/>
      <c r="P271" s="22"/>
      <c r="Q271" s="22"/>
      <c r="R271" s="23"/>
    </row>
    <row r="272" spans="1:26" ht="18.75" customHeight="1" x14ac:dyDescent="0.35">
      <c r="A272" s="145" t="s">
        <v>7</v>
      </c>
      <c r="B272" s="145" t="s">
        <v>8</v>
      </c>
      <c r="C272" s="279">
        <f>177.28+429+891+1346+98.964</f>
        <v>2942.2439999999997</v>
      </c>
      <c r="D272" s="20">
        <f>ROUND(C272/18,2)</f>
        <v>163.46</v>
      </c>
      <c r="E272" s="20"/>
      <c r="F272" s="21">
        <f>SUM(D272,E273:E274)</f>
        <v>163.46</v>
      </c>
      <c r="G272" s="81">
        <v>2184</v>
      </c>
      <c r="H272" s="20">
        <f>ROUND(G272/18,2)</f>
        <v>121.33</v>
      </c>
      <c r="I272" s="20"/>
      <c r="J272" s="21">
        <f>SUM(H272,I273:I274)</f>
        <v>122.33</v>
      </c>
      <c r="K272" s="82">
        <v>10</v>
      </c>
      <c r="L272" s="20">
        <f>ROUND(K272/18,2)</f>
        <v>0.56000000000000005</v>
      </c>
      <c r="M272" s="20"/>
      <c r="N272" s="21">
        <f>SUM(L272,M273:M274)</f>
        <v>1.56</v>
      </c>
      <c r="O272" s="22">
        <f>SUM(K272,C272,G272)</f>
        <v>5136.2439999999997</v>
      </c>
      <c r="P272" s="22">
        <f>ROUND(O272/36,2)</f>
        <v>142.66999999999999</v>
      </c>
      <c r="Q272" s="22"/>
      <c r="R272" s="23">
        <f>SUM(P272,Q273:Q274)</f>
        <v>143.66999999999999</v>
      </c>
    </row>
    <row r="273" spans="1:26" ht="18.75" customHeight="1" x14ac:dyDescent="0.35">
      <c r="A273" s="163"/>
      <c r="B273" s="145" t="s">
        <v>9</v>
      </c>
      <c r="C273" s="82"/>
      <c r="D273" s="20">
        <f>ROUND(C273/12,2)</f>
        <v>0</v>
      </c>
      <c r="E273" s="20">
        <f>D273*2</f>
        <v>0</v>
      </c>
      <c r="F273" s="21"/>
      <c r="G273" s="81">
        <v>6</v>
      </c>
      <c r="H273" s="20">
        <f>ROUND(G273/12,2)</f>
        <v>0.5</v>
      </c>
      <c r="I273" s="20">
        <f>H273*2</f>
        <v>1</v>
      </c>
      <c r="J273" s="21"/>
      <c r="K273" s="82">
        <v>6</v>
      </c>
      <c r="L273" s="20">
        <f>ROUND(K273/12,2)</f>
        <v>0.5</v>
      </c>
      <c r="M273" s="20">
        <f>L273*2</f>
        <v>1</v>
      </c>
      <c r="N273" s="21"/>
      <c r="O273" s="22">
        <f>SUM(K273,C273,G273)</f>
        <v>12</v>
      </c>
      <c r="P273" s="22">
        <f t="shared" ref="P273:P274" si="154">ROUND(O273/24,2)</f>
        <v>0.5</v>
      </c>
      <c r="Q273" s="22">
        <f t="shared" ref="Q273:Q274" si="155">P273*2</f>
        <v>1</v>
      </c>
      <c r="R273" s="23"/>
    </row>
    <row r="274" spans="1:26" ht="18.75" customHeight="1" thickBot="1" x14ac:dyDescent="0.4">
      <c r="A274" s="164"/>
      <c r="B274" s="146" t="s">
        <v>10</v>
      </c>
      <c r="C274" s="84"/>
      <c r="D274" s="24">
        <f>ROUND(C274/12,2)</f>
        <v>0</v>
      </c>
      <c r="E274" s="24">
        <f>D274*2</f>
        <v>0</v>
      </c>
      <c r="F274" s="25"/>
      <c r="G274" s="83"/>
      <c r="H274" s="24">
        <f>ROUND(G274/12,2)</f>
        <v>0</v>
      </c>
      <c r="I274" s="24">
        <f>H274*2</f>
        <v>0</v>
      </c>
      <c r="J274" s="25"/>
      <c r="K274" s="84"/>
      <c r="L274" s="24">
        <f>ROUND(K274/12,2)</f>
        <v>0</v>
      </c>
      <c r="M274" s="24">
        <f>L274*2</f>
        <v>0</v>
      </c>
      <c r="N274" s="25"/>
      <c r="O274" s="92">
        <f>SUM(K274,C274,G274)</f>
        <v>0</v>
      </c>
      <c r="P274" s="26">
        <f t="shared" si="154"/>
        <v>0</v>
      </c>
      <c r="Q274" s="26">
        <f t="shared" si="155"/>
        <v>0</v>
      </c>
      <c r="R274" s="27"/>
    </row>
    <row r="275" spans="1:26" ht="18.75" customHeight="1" x14ac:dyDescent="0.35">
      <c r="A275" s="148" t="s">
        <v>85</v>
      </c>
      <c r="B275" s="149"/>
      <c r="C275" s="80"/>
      <c r="D275" s="28"/>
      <c r="E275" s="28"/>
      <c r="F275" s="29"/>
      <c r="G275" s="79"/>
      <c r="H275" s="28"/>
      <c r="I275" s="28"/>
      <c r="J275" s="29"/>
      <c r="K275" s="80"/>
      <c r="L275" s="28"/>
      <c r="M275" s="28"/>
      <c r="N275" s="29"/>
      <c r="O275" s="66"/>
      <c r="P275" s="30"/>
      <c r="Q275" s="30"/>
      <c r="R275" s="31"/>
    </row>
    <row r="276" spans="1:26" ht="18.75" customHeight="1" x14ac:dyDescent="0.35">
      <c r="A276" s="145" t="s">
        <v>7</v>
      </c>
      <c r="B276" s="145" t="s">
        <v>8</v>
      </c>
      <c r="C276" s="279">
        <f>4104.62+4243+2832+1307+3586.844</f>
        <v>16073.464</v>
      </c>
      <c r="D276" s="20">
        <f>ROUND(C276/18,2)</f>
        <v>892.97</v>
      </c>
      <c r="E276" s="20"/>
      <c r="F276" s="21">
        <f>SUM(D276,E277:E278)</f>
        <v>892.97</v>
      </c>
      <c r="G276" s="81">
        <v>11809</v>
      </c>
      <c r="H276" s="20">
        <f>ROUND(G276/18,2)</f>
        <v>656.06</v>
      </c>
      <c r="I276" s="20"/>
      <c r="J276" s="21">
        <f>SUM(H276,I277:I278)</f>
        <v>656.06</v>
      </c>
      <c r="K276" s="82">
        <v>57</v>
      </c>
      <c r="L276" s="20">
        <f>ROUND(K276/18,2)</f>
        <v>3.17</v>
      </c>
      <c r="M276" s="20"/>
      <c r="N276" s="21">
        <f>SUM(L276,M277:M278)</f>
        <v>3.17</v>
      </c>
      <c r="O276" s="22">
        <f>SUM(K276,C276,G276)</f>
        <v>27939.464</v>
      </c>
      <c r="P276" s="22">
        <f>ROUND(O276/36,2)</f>
        <v>776.1</v>
      </c>
      <c r="Q276" s="22"/>
      <c r="R276" s="23">
        <f>SUM(P276,Q277:Q278)</f>
        <v>776.1</v>
      </c>
    </row>
    <row r="277" spans="1:26" ht="18.75" customHeight="1" x14ac:dyDescent="0.35">
      <c r="A277" s="163"/>
      <c r="B277" s="145" t="s">
        <v>9</v>
      </c>
      <c r="C277" s="82"/>
      <c r="D277" s="20">
        <f>ROUND(C277/12,2)</f>
        <v>0</v>
      </c>
      <c r="E277" s="20">
        <f>D277*2</f>
        <v>0</v>
      </c>
      <c r="F277" s="21"/>
      <c r="G277" s="81"/>
      <c r="H277" s="20">
        <f>ROUND(G277/12,2)</f>
        <v>0</v>
      </c>
      <c r="I277" s="20">
        <f>H277*2</f>
        <v>0</v>
      </c>
      <c r="J277" s="21"/>
      <c r="K277" s="82"/>
      <c r="L277" s="20">
        <f>ROUND(K277/12,2)</f>
        <v>0</v>
      </c>
      <c r="M277" s="20">
        <f>L277*2</f>
        <v>0</v>
      </c>
      <c r="N277" s="21"/>
      <c r="O277" s="22">
        <f>SUM(K277,C277,G277)</f>
        <v>0</v>
      </c>
      <c r="P277" s="22">
        <f t="shared" ref="P277:P278" si="156">ROUND(O277/24,2)</f>
        <v>0</v>
      </c>
      <c r="Q277" s="22">
        <f t="shared" ref="Q277:Q278" si="157">P277*2</f>
        <v>0</v>
      </c>
      <c r="R277" s="23"/>
    </row>
    <row r="278" spans="1:26" ht="18.75" customHeight="1" thickBot="1" x14ac:dyDescent="0.4">
      <c r="A278" s="164"/>
      <c r="B278" s="146" t="s">
        <v>10</v>
      </c>
      <c r="C278" s="84"/>
      <c r="D278" s="24">
        <f>ROUND(C278/12,2)</f>
        <v>0</v>
      </c>
      <c r="E278" s="24">
        <f>D278*2</f>
        <v>0</v>
      </c>
      <c r="F278" s="25"/>
      <c r="G278" s="83"/>
      <c r="H278" s="24">
        <f>ROUND(G278/12,2)</f>
        <v>0</v>
      </c>
      <c r="I278" s="24">
        <f>H278*2</f>
        <v>0</v>
      </c>
      <c r="J278" s="25"/>
      <c r="K278" s="84"/>
      <c r="L278" s="24">
        <f>ROUND(K278/12,2)</f>
        <v>0</v>
      </c>
      <c r="M278" s="24">
        <f>L278*2</f>
        <v>0</v>
      </c>
      <c r="N278" s="25"/>
      <c r="O278" s="92">
        <f>SUM(K278,C278,G278)</f>
        <v>0</v>
      </c>
      <c r="P278" s="26">
        <f t="shared" si="156"/>
        <v>0</v>
      </c>
      <c r="Q278" s="26">
        <f t="shared" si="157"/>
        <v>0</v>
      </c>
      <c r="R278" s="27"/>
    </row>
    <row r="279" spans="1:26" ht="18.75" customHeight="1" x14ac:dyDescent="0.35">
      <c r="A279" s="148" t="s">
        <v>86</v>
      </c>
      <c r="B279" s="149"/>
      <c r="C279" s="80"/>
      <c r="D279" s="28"/>
      <c r="E279" s="28"/>
      <c r="F279" s="29"/>
      <c r="G279" s="79"/>
      <c r="H279" s="28"/>
      <c r="I279" s="28"/>
      <c r="J279" s="29"/>
      <c r="K279" s="80"/>
      <c r="L279" s="28"/>
      <c r="M279" s="28"/>
      <c r="N279" s="29"/>
      <c r="O279" s="66"/>
      <c r="P279" s="30"/>
      <c r="Q279" s="30"/>
      <c r="R279" s="31"/>
      <c r="S279" s="65"/>
      <c r="T279" s="65"/>
      <c r="U279" s="65"/>
      <c r="V279" s="65"/>
      <c r="W279" s="65"/>
      <c r="X279" s="65"/>
      <c r="Y279" s="65"/>
      <c r="Z279" s="65"/>
    </row>
    <row r="280" spans="1:26" ht="18.75" customHeight="1" x14ac:dyDescent="0.35">
      <c r="A280" s="145" t="s">
        <v>7</v>
      </c>
      <c r="B280" s="145" t="s">
        <v>8</v>
      </c>
      <c r="C280" s="82">
        <f>590+228+1000+412.928</f>
        <v>2230.9279999999999</v>
      </c>
      <c r="D280" s="20">
        <f>ROUND(C280/18,2)</f>
        <v>123.94</v>
      </c>
      <c r="E280" s="20"/>
      <c r="F280" s="21">
        <f>SUM(D280,E281:E282)</f>
        <v>123.94</v>
      </c>
      <c r="G280" s="81">
        <v>1977</v>
      </c>
      <c r="H280" s="20">
        <f>ROUND(G280/18,2)</f>
        <v>109.83</v>
      </c>
      <c r="I280" s="20"/>
      <c r="J280" s="21">
        <f>SUM(H280,I281:I282)</f>
        <v>109.83</v>
      </c>
      <c r="K280" s="82">
        <v>23</v>
      </c>
      <c r="L280" s="20">
        <f>ROUND(K280/18,2)</f>
        <v>1.28</v>
      </c>
      <c r="M280" s="20"/>
      <c r="N280" s="21">
        <f>SUM(L280,M281:M282)</f>
        <v>1.28</v>
      </c>
      <c r="O280" s="22">
        <f>SUM(K280,C280,G280)</f>
        <v>4230.9279999999999</v>
      </c>
      <c r="P280" s="22">
        <f>ROUND(O280/36,2)</f>
        <v>117.53</v>
      </c>
      <c r="Q280" s="22"/>
      <c r="R280" s="23">
        <f>SUM(P280,Q281:Q282)</f>
        <v>117.53</v>
      </c>
      <c r="S280" s="65"/>
      <c r="T280" s="65"/>
      <c r="U280" s="65"/>
      <c r="V280" s="65"/>
      <c r="W280" s="65"/>
      <c r="X280" s="65"/>
      <c r="Y280" s="65"/>
      <c r="Z280" s="65"/>
    </row>
    <row r="281" spans="1:26" ht="18.75" customHeight="1" x14ac:dyDescent="0.35">
      <c r="A281" s="163"/>
      <c r="B281" s="145" t="s">
        <v>9</v>
      </c>
      <c r="C281" s="82"/>
      <c r="D281" s="20">
        <f>ROUND(C281/12,2)</f>
        <v>0</v>
      </c>
      <c r="E281" s="20">
        <f>D281*2</f>
        <v>0</v>
      </c>
      <c r="F281" s="21"/>
      <c r="G281" s="81"/>
      <c r="H281" s="20">
        <f>ROUND(G281/12,2)</f>
        <v>0</v>
      </c>
      <c r="I281" s="20">
        <f>H281*2</f>
        <v>0</v>
      </c>
      <c r="J281" s="21"/>
      <c r="K281" s="82"/>
      <c r="L281" s="20">
        <f>ROUND(K281/12,2)</f>
        <v>0</v>
      </c>
      <c r="M281" s="20">
        <f>L281*2</f>
        <v>0</v>
      </c>
      <c r="N281" s="21"/>
      <c r="O281" s="22">
        <f>SUM(K281,C281,G281)</f>
        <v>0</v>
      </c>
      <c r="P281" s="22">
        <f t="shared" ref="P281:P282" si="158">ROUND(O281/24,2)</f>
        <v>0</v>
      </c>
      <c r="Q281" s="22">
        <f t="shared" ref="Q281:Q282" si="159">P281*2</f>
        <v>0</v>
      </c>
      <c r="R281" s="23"/>
      <c r="S281" s="65"/>
      <c r="T281" s="65"/>
      <c r="U281" s="65"/>
      <c r="V281" s="65"/>
      <c r="W281" s="65"/>
      <c r="X281" s="65"/>
      <c r="Y281" s="65"/>
      <c r="Z281" s="65"/>
    </row>
    <row r="282" spans="1:26" ht="18.75" customHeight="1" thickBot="1" x14ac:dyDescent="0.4">
      <c r="A282" s="164"/>
      <c r="B282" s="146" t="s">
        <v>10</v>
      </c>
      <c r="C282" s="84"/>
      <c r="D282" s="24">
        <f>ROUND(C282/12,2)</f>
        <v>0</v>
      </c>
      <c r="E282" s="24">
        <f>D282*2</f>
        <v>0</v>
      </c>
      <c r="F282" s="25"/>
      <c r="G282" s="83"/>
      <c r="H282" s="24">
        <f>ROUND(G282/12,2)</f>
        <v>0</v>
      </c>
      <c r="I282" s="24">
        <f>H282*2</f>
        <v>0</v>
      </c>
      <c r="J282" s="25"/>
      <c r="K282" s="84"/>
      <c r="L282" s="24">
        <f>ROUND(K282/12,2)</f>
        <v>0</v>
      </c>
      <c r="M282" s="24">
        <f>L282*2</f>
        <v>0</v>
      </c>
      <c r="N282" s="25"/>
      <c r="O282" s="92">
        <f>SUM(K282,C282,G282)</f>
        <v>0</v>
      </c>
      <c r="P282" s="26">
        <f t="shared" si="158"/>
        <v>0</v>
      </c>
      <c r="Q282" s="26">
        <f t="shared" si="159"/>
        <v>0</v>
      </c>
      <c r="R282" s="27"/>
    </row>
    <row r="283" spans="1:26" ht="18.75" customHeight="1" x14ac:dyDescent="0.35">
      <c r="A283" s="165" t="s">
        <v>87</v>
      </c>
      <c r="B283" s="155" t="s">
        <v>8</v>
      </c>
      <c r="C283" s="128">
        <f>SUMIF($B$271:$B$282,"ปริญญาตรี",C271:C282)</f>
        <v>21246.635999999999</v>
      </c>
      <c r="D283" s="228">
        <f t="shared" ref="D283" si="160">SUM(D272,D276,D280)</f>
        <v>1180.3700000000001</v>
      </c>
      <c r="E283" s="228"/>
      <c r="F283" s="226">
        <f>ROUND(SUM(D283,E284:E285),2)</f>
        <v>1180.3699999999999</v>
      </c>
      <c r="G283" s="245">
        <f>SUMIF($B$271:$B$282,"ปริญญาตรี",G271:G282)</f>
        <v>15970</v>
      </c>
      <c r="H283" s="228">
        <f t="shared" ref="H283" si="161">SUM(H272,H276,H280)</f>
        <v>887.22</v>
      </c>
      <c r="I283" s="228"/>
      <c r="J283" s="226">
        <f>ROUND(SUM(H283,I284:I285),2)</f>
        <v>888.22</v>
      </c>
      <c r="K283" s="245">
        <f>SUMIF($B$271:$B$282,"ปริญญาตรี",K271:K282)</f>
        <v>90</v>
      </c>
      <c r="L283" s="228">
        <f t="shared" ref="L283" si="162">SUM(L272,L276,L280)</f>
        <v>5.01</v>
      </c>
      <c r="M283" s="228"/>
      <c r="N283" s="226">
        <f>ROUND(SUM(L283,M284:M285),2)</f>
        <v>6.01</v>
      </c>
      <c r="O283" s="245">
        <f>SUMIF($B$271:$B$282,"ปริญญาตรี",O271:O282)</f>
        <v>37306.635999999999</v>
      </c>
      <c r="P283" s="228">
        <f t="shared" ref="P283" si="163">SUM(P272,P276,P280)</f>
        <v>1036.3</v>
      </c>
      <c r="Q283" s="228"/>
      <c r="R283" s="226">
        <f>ROUND(SUM(P283,Q284:Q285),2)</f>
        <v>1037.3</v>
      </c>
    </row>
    <row r="284" spans="1:26" ht="18.75" customHeight="1" x14ac:dyDescent="0.35">
      <c r="A284" s="166" t="s">
        <v>87</v>
      </c>
      <c r="B284" s="155" t="s">
        <v>9</v>
      </c>
      <c r="C284" s="130">
        <f>SUMIF($B$271:$B$282,"ปริญญาโท",C271:C282)</f>
        <v>0</v>
      </c>
      <c r="D284" s="228">
        <f>SUMIF($B$271:$B$282,"ปริญญาโท",D271:D282)</f>
        <v>0</v>
      </c>
      <c r="E284" s="228">
        <f>SUMIF($B$271:$B$282,"ปริญญาโท",E271:E282)</f>
        <v>0</v>
      </c>
      <c r="F284" s="230"/>
      <c r="G284" s="227">
        <f>SUMIF($B$271:$B$282,"ปริญญาโท",G271:G282)</f>
        <v>6</v>
      </c>
      <c r="H284" s="228">
        <f>SUMIF($B$271:$B$282,"ปริญญาโท",H271:H282)</f>
        <v>0.5</v>
      </c>
      <c r="I284" s="228">
        <f>SUMIF($B$271:$B$282,"ปริญญาโท",I271:I282)</f>
        <v>1</v>
      </c>
      <c r="J284" s="230"/>
      <c r="K284" s="227">
        <f>SUMIF($B$271:$B$282,"ปริญญาโท",K271:K282)</f>
        <v>6</v>
      </c>
      <c r="L284" s="228">
        <f>SUMIF($B$271:$B$282,"ปริญญาโท",L271:L282)</f>
        <v>0.5</v>
      </c>
      <c r="M284" s="228">
        <f>SUMIF($B$271:$B$282,"ปริญญาโท",M271:M282)</f>
        <v>1</v>
      </c>
      <c r="N284" s="230"/>
      <c r="O284" s="227">
        <f>SUMIF($B$271:$B$282,"ปริญญาโท",O271:O282)</f>
        <v>12</v>
      </c>
      <c r="P284" s="228">
        <f>SUMIF($B$271:$B$282,"ปริญญาโท",P271:P282)</f>
        <v>0.5</v>
      </c>
      <c r="Q284" s="228">
        <f>SUMIF($B$271:$B$282,"ปริญญาโท",Q271:Q282)</f>
        <v>1</v>
      </c>
      <c r="R284" s="230"/>
    </row>
    <row r="285" spans="1:26" ht="18.75" customHeight="1" thickBot="1" x14ac:dyDescent="0.4">
      <c r="A285" s="167" t="s">
        <v>87</v>
      </c>
      <c r="B285" s="156" t="s">
        <v>10</v>
      </c>
      <c r="C285" s="131">
        <f>SUMIF($B$271:$B$282,"ปริญญาเอก",C271:C282)</f>
        <v>0</v>
      </c>
      <c r="D285" s="246">
        <f>SUMIF($B$271:$B$282,"ปริญญาเอก",D271:D282)</f>
        <v>0</v>
      </c>
      <c r="E285" s="246">
        <f>SUMIF($B$271:$B$282,"ปริญญาเอก",E271:E282)</f>
        <v>0</v>
      </c>
      <c r="F285" s="234"/>
      <c r="G285" s="247">
        <f>SUMIF($B$271:$B$282,"ปริญญาเอก",G271:G282)</f>
        <v>0</v>
      </c>
      <c r="H285" s="246">
        <f>SUMIF($B$271:$B$282,"ปริญญาเอก",H271:H282)</f>
        <v>0</v>
      </c>
      <c r="I285" s="246">
        <f>SUMIF($B$271:$B$282,"ปริญญาเอก",I271:I282)</f>
        <v>0</v>
      </c>
      <c r="J285" s="234"/>
      <c r="K285" s="247">
        <f>SUMIF($B$271:$B$282,"ปริญญาเอก",K271:K282)</f>
        <v>0</v>
      </c>
      <c r="L285" s="246">
        <f>SUMIF($B$271:$B$282,"ปริญญาเอก",L271:L282)</f>
        <v>0</v>
      </c>
      <c r="M285" s="246">
        <f>SUMIF($B$271:$B$282,"ปริญญาเอก",M271:M282)</f>
        <v>0</v>
      </c>
      <c r="N285" s="234"/>
      <c r="O285" s="247">
        <f>SUMIF($B$271:$B$282,"ปริญญาเอก",O271:O282)</f>
        <v>0</v>
      </c>
      <c r="P285" s="246">
        <f>SUMIF($B$271:$B$282,"ปริญญาเอก",P271:P282)</f>
        <v>0</v>
      </c>
      <c r="Q285" s="246">
        <f>SUMIF($B$271:$B$282,"ปริญญาเอก",Q271:Q282)</f>
        <v>0</v>
      </c>
      <c r="R285" s="234"/>
    </row>
    <row r="286" spans="1:26" ht="18.75" customHeight="1" x14ac:dyDescent="0.35">
      <c r="A286" s="72"/>
      <c r="B286" s="55"/>
      <c r="C286" s="143"/>
      <c r="D286" s="55"/>
      <c r="E286" s="55"/>
      <c r="F286" s="55"/>
      <c r="G286" s="143"/>
      <c r="H286" s="55"/>
      <c r="I286" s="55"/>
      <c r="J286" s="55"/>
      <c r="K286" s="143"/>
      <c r="L286" s="55"/>
      <c r="M286" s="55"/>
      <c r="N286" s="55"/>
      <c r="O286" s="143"/>
      <c r="P286" s="55"/>
      <c r="Q286" s="55"/>
      <c r="R286" s="55"/>
    </row>
    <row r="287" spans="1:26" ht="18.75" customHeight="1" x14ac:dyDescent="0.35">
      <c r="A287" s="162" t="s">
        <v>88</v>
      </c>
      <c r="B287" s="157"/>
      <c r="C287" s="142"/>
      <c r="D287" s="52"/>
      <c r="E287" s="52"/>
      <c r="F287" s="52"/>
      <c r="G287" s="52"/>
      <c r="H287" s="52"/>
      <c r="I287" s="52"/>
      <c r="J287" s="52"/>
      <c r="K287" s="142"/>
      <c r="L287" s="52"/>
      <c r="M287" s="52"/>
      <c r="N287" s="52"/>
      <c r="O287" s="53"/>
      <c r="P287" s="52"/>
      <c r="Q287" s="52"/>
      <c r="R287" s="53"/>
    </row>
    <row r="288" spans="1:26" ht="18.75" customHeight="1" x14ac:dyDescent="0.35">
      <c r="A288" s="144" t="s">
        <v>89</v>
      </c>
      <c r="B288" s="158"/>
      <c r="C288" s="82"/>
      <c r="D288" s="20"/>
      <c r="E288" s="20"/>
      <c r="F288" s="21"/>
      <c r="G288" s="81"/>
      <c r="H288" s="20"/>
      <c r="I288" s="20"/>
      <c r="J288" s="21"/>
      <c r="K288" s="82"/>
      <c r="L288" s="20"/>
      <c r="M288" s="20"/>
      <c r="N288" s="21"/>
      <c r="O288" s="34"/>
      <c r="P288" s="22"/>
      <c r="Q288" s="22"/>
      <c r="R288" s="23"/>
    </row>
    <row r="289" spans="1:26" ht="18.75" customHeight="1" x14ac:dyDescent="0.35">
      <c r="A289" s="145" t="s">
        <v>7</v>
      </c>
      <c r="B289" s="145" t="s">
        <v>8</v>
      </c>
      <c r="C289" s="279">
        <f>6005.1+2.736+427+2260+1022</f>
        <v>9716.8359999999993</v>
      </c>
      <c r="D289" s="20">
        <f>ROUND(C289/18,2)</f>
        <v>539.82000000000005</v>
      </c>
      <c r="E289" s="20"/>
      <c r="F289" s="21">
        <f>SUM(D289,E290:E291)</f>
        <v>539.82000000000005</v>
      </c>
      <c r="G289" s="81">
        <v>6172</v>
      </c>
      <c r="H289" s="20">
        <f>ROUND(G289/18,2)</f>
        <v>342.89</v>
      </c>
      <c r="I289" s="20"/>
      <c r="J289" s="21">
        <f>SUM(H289,I290:I291)</f>
        <v>342.89</v>
      </c>
      <c r="K289" s="82">
        <v>377</v>
      </c>
      <c r="L289" s="20">
        <f>ROUND(K289/18,2)</f>
        <v>20.94</v>
      </c>
      <c r="M289" s="20"/>
      <c r="N289" s="21">
        <f>SUM(L289,M290:M291)</f>
        <v>20.94</v>
      </c>
      <c r="O289" s="22">
        <f>SUM(K289,C289,G289)</f>
        <v>16265.835999999999</v>
      </c>
      <c r="P289" s="22">
        <f>ROUND(O289/36,2)</f>
        <v>451.83</v>
      </c>
      <c r="Q289" s="22"/>
      <c r="R289" s="23">
        <f>SUM(P289,Q290:Q291)</f>
        <v>451.83</v>
      </c>
    </row>
    <row r="290" spans="1:26" ht="18.75" customHeight="1" x14ac:dyDescent="0.35">
      <c r="A290" s="163"/>
      <c r="B290" s="145" t="s">
        <v>9</v>
      </c>
      <c r="C290" s="82"/>
      <c r="D290" s="20">
        <f>ROUND(C290/12,2)</f>
        <v>0</v>
      </c>
      <c r="E290" s="20">
        <f>D290*2</f>
        <v>0</v>
      </c>
      <c r="F290" s="21"/>
      <c r="G290" s="81"/>
      <c r="H290" s="20">
        <f>ROUND(G290/12,2)</f>
        <v>0</v>
      </c>
      <c r="I290" s="20">
        <f>H290*2</f>
        <v>0</v>
      </c>
      <c r="J290" s="21"/>
      <c r="K290" s="82"/>
      <c r="L290" s="20">
        <f>ROUND(K290/12,2)</f>
        <v>0</v>
      </c>
      <c r="M290" s="20">
        <f>L290*2</f>
        <v>0</v>
      </c>
      <c r="N290" s="21"/>
      <c r="O290" s="22">
        <f>SUM(K290,C290,G290)</f>
        <v>0</v>
      </c>
      <c r="P290" s="22">
        <f t="shared" ref="P290:P291" si="164">ROUND(O290/24,2)</f>
        <v>0</v>
      </c>
      <c r="Q290" s="22">
        <f t="shared" ref="Q290:Q291" si="165">P290*2</f>
        <v>0</v>
      </c>
      <c r="R290" s="23"/>
    </row>
    <row r="291" spans="1:26" ht="18.75" customHeight="1" thickBot="1" x14ac:dyDescent="0.4">
      <c r="A291" s="164"/>
      <c r="B291" s="146" t="s">
        <v>10</v>
      </c>
      <c r="C291" s="84"/>
      <c r="D291" s="24">
        <f>ROUND(C291/12,2)</f>
        <v>0</v>
      </c>
      <c r="E291" s="24">
        <f>D291*2</f>
        <v>0</v>
      </c>
      <c r="F291" s="25"/>
      <c r="G291" s="83"/>
      <c r="H291" s="24">
        <f>ROUND(G291/12,2)</f>
        <v>0</v>
      </c>
      <c r="I291" s="24">
        <f>H291*2</f>
        <v>0</v>
      </c>
      <c r="J291" s="25"/>
      <c r="K291" s="84"/>
      <c r="L291" s="24">
        <f>ROUND(K291/12,2)</f>
        <v>0</v>
      </c>
      <c r="M291" s="24">
        <f>L291*2</f>
        <v>0</v>
      </c>
      <c r="N291" s="25"/>
      <c r="O291" s="92">
        <f>SUM(K291,C291,G291)</f>
        <v>0</v>
      </c>
      <c r="P291" s="26">
        <f t="shared" si="164"/>
        <v>0</v>
      </c>
      <c r="Q291" s="26">
        <f t="shared" si="165"/>
        <v>0</v>
      </c>
      <c r="R291" s="27"/>
    </row>
    <row r="292" spans="1:26" ht="18.75" customHeight="1" x14ac:dyDescent="0.35">
      <c r="A292" s="148" t="s">
        <v>90</v>
      </c>
      <c r="B292" s="153"/>
      <c r="C292" s="80"/>
      <c r="D292" s="28"/>
      <c r="E292" s="28"/>
      <c r="F292" s="29"/>
      <c r="G292" s="79"/>
      <c r="H292" s="28"/>
      <c r="I292" s="28"/>
      <c r="J292" s="29"/>
      <c r="K292" s="80"/>
      <c r="L292" s="28"/>
      <c r="M292" s="28"/>
      <c r="N292" s="29"/>
      <c r="O292" s="30"/>
      <c r="P292" s="30"/>
      <c r="Q292" s="30"/>
      <c r="R292" s="31"/>
      <c r="S292" s="65"/>
      <c r="T292" s="65"/>
      <c r="U292" s="65"/>
      <c r="V292" s="65"/>
      <c r="W292" s="65"/>
      <c r="X292" s="65"/>
      <c r="Y292" s="65"/>
      <c r="Z292" s="65"/>
    </row>
    <row r="293" spans="1:26" ht="18.75" customHeight="1" x14ac:dyDescent="0.35">
      <c r="A293" s="145" t="s">
        <v>7</v>
      </c>
      <c r="B293" s="145" t="s">
        <v>8</v>
      </c>
      <c r="C293" s="82">
        <f>192+507+183</f>
        <v>882</v>
      </c>
      <c r="D293" s="20">
        <f>ROUND(C293/18,2)</f>
        <v>49</v>
      </c>
      <c r="E293" s="20"/>
      <c r="F293" s="21">
        <f>SUM(D293,E294:E295)</f>
        <v>49</v>
      </c>
      <c r="G293" s="81">
        <f>120+547</f>
        <v>667</v>
      </c>
      <c r="H293" s="20">
        <f>ROUND(G293/18,2)</f>
        <v>37.06</v>
      </c>
      <c r="I293" s="20"/>
      <c r="J293" s="21">
        <f>SUM(H293,I294:I295)</f>
        <v>37.06</v>
      </c>
      <c r="K293" s="82">
        <v>36</v>
      </c>
      <c r="L293" s="20">
        <f>ROUND(K293/18,2)</f>
        <v>2</v>
      </c>
      <c r="M293" s="20"/>
      <c r="N293" s="21">
        <f>SUM(L293,M294:M295)</f>
        <v>2</v>
      </c>
      <c r="O293" s="22">
        <f>SUM(K293,C293,G293)</f>
        <v>1585</v>
      </c>
      <c r="P293" s="22">
        <f>ROUND(O293/36,2)</f>
        <v>44.03</v>
      </c>
      <c r="Q293" s="22"/>
      <c r="R293" s="23">
        <f>SUM(P293,Q294:Q295)</f>
        <v>44.03</v>
      </c>
      <c r="S293" s="65"/>
      <c r="T293" s="65"/>
      <c r="U293" s="65"/>
      <c r="V293" s="65"/>
      <c r="W293" s="65"/>
      <c r="X293" s="65"/>
      <c r="Y293" s="65"/>
      <c r="Z293" s="65"/>
    </row>
    <row r="294" spans="1:26" ht="18.75" customHeight="1" x14ac:dyDescent="0.35">
      <c r="A294" s="145"/>
      <c r="B294" s="145" t="s">
        <v>9</v>
      </c>
      <c r="C294" s="82"/>
      <c r="D294" s="20">
        <f>ROUND(C294/12,2)</f>
        <v>0</v>
      </c>
      <c r="E294" s="20">
        <f>D294*2</f>
        <v>0</v>
      </c>
      <c r="F294" s="21"/>
      <c r="G294" s="81"/>
      <c r="H294" s="20">
        <f>ROUND(G294/12,2)</f>
        <v>0</v>
      </c>
      <c r="I294" s="20">
        <f>H294*2</f>
        <v>0</v>
      </c>
      <c r="J294" s="21"/>
      <c r="K294" s="82"/>
      <c r="L294" s="20">
        <f>ROUND(K294/12,2)</f>
        <v>0</v>
      </c>
      <c r="M294" s="20">
        <f>L294*2</f>
        <v>0</v>
      </c>
      <c r="N294" s="21"/>
      <c r="O294" s="22">
        <f>SUM(K294,C294,G294)</f>
        <v>0</v>
      </c>
      <c r="P294" s="22">
        <f t="shared" ref="P294:P295" si="166">ROUND(O294/24,2)</f>
        <v>0</v>
      </c>
      <c r="Q294" s="22">
        <f t="shared" ref="Q294:Q295" si="167">P294*2</f>
        <v>0</v>
      </c>
      <c r="R294" s="23"/>
      <c r="S294" s="65"/>
      <c r="T294" s="65"/>
      <c r="U294" s="65"/>
      <c r="V294" s="65"/>
      <c r="W294" s="65"/>
      <c r="X294" s="65"/>
      <c r="Y294" s="65"/>
      <c r="Z294" s="65"/>
    </row>
    <row r="295" spans="1:26" ht="18.75" customHeight="1" thickBot="1" x14ac:dyDescent="0.4">
      <c r="A295" s="146"/>
      <c r="B295" s="146" t="s">
        <v>10</v>
      </c>
      <c r="C295" s="84"/>
      <c r="D295" s="24">
        <f>ROUND(C295/12,2)</f>
        <v>0</v>
      </c>
      <c r="E295" s="24">
        <f>D295*2</f>
        <v>0</v>
      </c>
      <c r="F295" s="25"/>
      <c r="G295" s="83"/>
      <c r="H295" s="24">
        <f>ROUND(G295/12,2)</f>
        <v>0</v>
      </c>
      <c r="I295" s="24">
        <f>H295*2</f>
        <v>0</v>
      </c>
      <c r="J295" s="25"/>
      <c r="K295" s="84"/>
      <c r="L295" s="24">
        <f>ROUND(K295/12,2)</f>
        <v>0</v>
      </c>
      <c r="M295" s="24">
        <f>L295*2</f>
        <v>0</v>
      </c>
      <c r="N295" s="25"/>
      <c r="O295" s="92">
        <f>SUM(K295,C295,G295)</f>
        <v>0</v>
      </c>
      <c r="P295" s="26">
        <f t="shared" si="166"/>
        <v>0</v>
      </c>
      <c r="Q295" s="26">
        <f t="shared" si="167"/>
        <v>0</v>
      </c>
      <c r="R295" s="27"/>
      <c r="S295" s="65"/>
      <c r="T295" s="65"/>
      <c r="U295" s="65"/>
      <c r="V295" s="65"/>
      <c r="W295" s="65"/>
      <c r="X295" s="65"/>
      <c r="Y295" s="65"/>
      <c r="Z295" s="65"/>
    </row>
    <row r="296" spans="1:26" ht="18.75" customHeight="1" x14ac:dyDescent="0.35">
      <c r="A296" s="165" t="s">
        <v>91</v>
      </c>
      <c r="B296" s="155" t="s">
        <v>8</v>
      </c>
      <c r="C296" s="227">
        <f>SUMIF($B$288:$B$295,"ปริญญาตรี",C288:C295)</f>
        <v>10598.835999999999</v>
      </c>
      <c r="D296" s="228">
        <f>SUMIF($B$288:$B$295,"ปริญญาตรี",D288:D295)</f>
        <v>588.82000000000005</v>
      </c>
      <c r="E296" s="228"/>
      <c r="F296" s="226">
        <f>ROUND(SUM(D296,E297:E298),2)</f>
        <v>588.82000000000005</v>
      </c>
      <c r="G296" s="227">
        <f>SUMIF($B$288:$B$295,"ปริญญาตรี",G288:G295)</f>
        <v>6839</v>
      </c>
      <c r="H296" s="228">
        <f>SUMIF($B$288:$B$295,"ปริญญาตรี",H288:H295)</f>
        <v>379.95</v>
      </c>
      <c r="I296" s="228"/>
      <c r="J296" s="226">
        <f>ROUND(SUM(H296,I297:I298),2)</f>
        <v>379.95</v>
      </c>
      <c r="K296" s="227">
        <f>SUMIF($B$288:$B$295,"ปริญญาตรี",K288:K295)</f>
        <v>413</v>
      </c>
      <c r="L296" s="228">
        <f>SUMIF($B$288:$B$295,"ปริญญาตรี",L288:L295)</f>
        <v>22.94</v>
      </c>
      <c r="M296" s="228"/>
      <c r="N296" s="226">
        <f>ROUND(SUM(L296,M297:M298),2)</f>
        <v>22.94</v>
      </c>
      <c r="O296" s="227">
        <f>SUMIF($B$288:$B$295,"ปริญญาตรี",O288:O295)</f>
        <v>17850.835999999999</v>
      </c>
      <c r="P296" s="228">
        <f>SUMIF($B$288:$B$295,"ปริญญาตรี",P288:P295)</f>
        <v>495.86</v>
      </c>
      <c r="Q296" s="228"/>
      <c r="R296" s="226">
        <f>ROUND(SUM(P296,Q297:Q298),2)</f>
        <v>495.86</v>
      </c>
      <c r="S296" s="65"/>
      <c r="T296" s="65"/>
      <c r="U296" s="65"/>
      <c r="V296" s="65"/>
      <c r="W296" s="65"/>
      <c r="X296" s="65"/>
      <c r="Y296" s="65"/>
      <c r="Z296" s="65"/>
    </row>
    <row r="297" spans="1:26" ht="18.75" customHeight="1" x14ac:dyDescent="0.35">
      <c r="A297" s="166" t="s">
        <v>91</v>
      </c>
      <c r="B297" s="155" t="s">
        <v>9</v>
      </c>
      <c r="C297" s="223">
        <f>SUMIF($B$288:$B$295,"ปริญญาโท",C288:C295)</f>
        <v>0</v>
      </c>
      <c r="D297" s="229">
        <f>SUMIF($B$288:$B$295,"ปริญญาโท",D288:D295)</f>
        <v>0</v>
      </c>
      <c r="E297" s="225">
        <f>SUMIF($B$288:$B$295,"ปริญญาโท",E288:E295)</f>
        <v>0</v>
      </c>
      <c r="F297" s="230"/>
      <c r="G297" s="223">
        <f>SUMIF($B$288:$B$295,"ปริญญาโท",G288:G295)</f>
        <v>0</v>
      </c>
      <c r="H297" s="229">
        <f>SUMIF($B$288:$B$295,"ปริญญาโท",H288:H295)</f>
        <v>0</v>
      </c>
      <c r="I297" s="225">
        <f>SUMIF($B$288:$B$295,"ปริญญาโท",I288:I295)</f>
        <v>0</v>
      </c>
      <c r="J297" s="230"/>
      <c r="K297" s="223">
        <f>SUMIF($B$288:$B$295,"ปริญญาโท",K288:K295)</f>
        <v>0</v>
      </c>
      <c r="L297" s="229">
        <f>SUMIF($B$288:$B$295,"ปริญญาโท",L288:L295)</f>
        <v>0</v>
      </c>
      <c r="M297" s="225">
        <f>SUMIF($B$288:$B$295,"ปริญญาโท",M288:M295)</f>
        <v>0</v>
      </c>
      <c r="N297" s="230"/>
      <c r="O297" s="223">
        <f>SUMIF($B$288:$B$295,"ปริญญาโท",O288:O295)</f>
        <v>0</v>
      </c>
      <c r="P297" s="229">
        <f>SUMIF($B$288:$B$295,"ปริญญาโท",P288:P295)</f>
        <v>0</v>
      </c>
      <c r="Q297" s="225">
        <f>SUMIF($B$288:$B$295,"ปริญญาโท",Q288:Q295)</f>
        <v>0</v>
      </c>
      <c r="R297" s="230"/>
      <c r="S297" s="65"/>
      <c r="T297" s="65"/>
      <c r="U297" s="65"/>
      <c r="V297" s="65"/>
      <c r="W297" s="65"/>
      <c r="X297" s="65"/>
      <c r="Y297" s="65"/>
      <c r="Z297" s="65"/>
    </row>
    <row r="298" spans="1:26" ht="18.75" customHeight="1" thickBot="1" x14ac:dyDescent="0.4">
      <c r="A298" s="167" t="s">
        <v>91</v>
      </c>
      <c r="B298" s="156" t="s">
        <v>10</v>
      </c>
      <c r="C298" s="231">
        <f>SUMIF($B$288:$B$295,"ปริญญาเอก",C288:C295)</f>
        <v>0</v>
      </c>
      <c r="D298" s="232">
        <f>SUMIF($B$288:$B$295,"ปริญญาเอก",D288:D295)</f>
        <v>0</v>
      </c>
      <c r="E298" s="233">
        <f>SUMIF($B$288:$B$295,"ปริญญาเอก",E288:E295)</f>
        <v>0</v>
      </c>
      <c r="F298" s="234"/>
      <c r="G298" s="231">
        <f>SUMIF($B$288:$B$295,"ปริญญาเอก",G288:G295)</f>
        <v>0</v>
      </c>
      <c r="H298" s="232">
        <f>SUMIF($B$288:$B$295,"ปริญญาเอก",H288:H295)</f>
        <v>0</v>
      </c>
      <c r="I298" s="233">
        <f>SUMIF($B$288:$B$295,"ปริญญาเอก",I288:I295)</f>
        <v>0</v>
      </c>
      <c r="J298" s="234"/>
      <c r="K298" s="231">
        <f>SUMIF($B$288:$B$295,"ปริญญาเอก",K288:K295)</f>
        <v>0</v>
      </c>
      <c r="L298" s="232">
        <f>SUMIF($B$288:$B$295,"ปริญญาเอก",L288:L295)</f>
        <v>0</v>
      </c>
      <c r="M298" s="233">
        <f>SUMIF($B$288:$B$295,"ปริญญาเอก",M288:M295)</f>
        <v>0</v>
      </c>
      <c r="N298" s="234"/>
      <c r="O298" s="231">
        <f>SUMIF($B$288:$B$295,"ปริญญาเอก",O288:O295)</f>
        <v>0</v>
      </c>
      <c r="P298" s="232">
        <f>SUMIF($B$288:$B$295,"ปริญญาเอก",P288:P295)</f>
        <v>0</v>
      </c>
      <c r="Q298" s="233">
        <f>SUMIF($B$288:$B$295,"ปริญญาเอก",Q288:Q295)</f>
        <v>0</v>
      </c>
      <c r="R298" s="234"/>
      <c r="S298" s="65"/>
      <c r="T298" s="65"/>
      <c r="U298" s="65"/>
      <c r="V298" s="65"/>
      <c r="W298" s="65"/>
      <c r="X298" s="65"/>
      <c r="Y298" s="65"/>
      <c r="Z298" s="65"/>
    </row>
    <row r="299" spans="1:26" ht="18.75" customHeight="1" x14ac:dyDescent="0.35">
      <c r="A299" s="168" t="s">
        <v>92</v>
      </c>
      <c r="B299" s="159" t="s">
        <v>8</v>
      </c>
      <c r="C299" s="235">
        <f>SUM(SUMIFS(C4:C298,$B$4:$B$298,"ปริญญาตรี",$A$4:$A$298,"รวมทั้งวิทยาเขตสระแก้ว"),
     SUMIFS(C4:C298,$B$4:$B$298,"ปริญญาตรี",$A$4:$A$298,"รวมทั้งวิทยาเขตจันทบุรี"),
     SUMIFS(C4:C298,$B$4:$B$298,"ปริญญาตรี",$A$4:$A$298,"รวมทั้งวิทยาเขตบางแสน"))</f>
        <v>409873.94799999997</v>
      </c>
      <c r="D299" s="236">
        <f>SUM(SUMIFS(D4:D298,$B$4:$B$298,"ปริญญาตรี",$A$4:$A$298,"รวมทั้งวิทยาเขตสระแก้ว"),
     SUMIFS(D4:D298,$B$4:$B$298,"ปริญญาตรี",$A$4:$A$298,"รวมทั้งวิทยาเขตจันทบุรี"),
     SUMIFS(D4:D298,$B$4:$B$298,"ปริญญาตรี",$A$4:$A$298,"รวมทั้งวิทยาเขตบางแสน"))</f>
        <v>22770.789999999997</v>
      </c>
      <c r="E299" s="236"/>
      <c r="F299" s="237">
        <f>ROUND(SUM(D299,E300:E302),2)</f>
        <v>23264.99</v>
      </c>
      <c r="G299" s="235">
        <f>SUM(SUMIFS(G4:G298,$B$4:$B$298,"ปริญญาตรี",$A$4:$A$298,"รวมทั้งวิทยาเขตสระแก้ว"),
     SUMIFS(G4:G298,$B$4:$B$298,"ปริญญาตรี",$A$4:$A$298,"รวมทั้งวิทยาเขตจันทบุรี"),
     SUMIFS(G4:G298,$B$4:$B$298,"ปริญญาตรี",$A$4:$A$298,"รวมทั้งวิทยาเขตบางแสน"))</f>
        <v>377119</v>
      </c>
      <c r="H299" s="236">
        <f>SUM(SUMIFS(H4:H298,$B$4:$B$298,"ปริญญาตรี",$A$4:$A$298,"รวมทั้งวิทยาเขตสระแก้ว"),
     SUMIFS(H4:H298,$B$4:$B$298,"ปริญญาตรี",$A$4:$A$298,"รวมทั้งวิทยาเขตจันทบุรี"),
     SUMIFS(H4:H298,$B$4:$B$298,"ปริญญาตรี",$A$4:$A$298,"รวมทั้งวิทยาเขตบางแสน"))</f>
        <v>20951.060000000005</v>
      </c>
      <c r="I299" s="236"/>
      <c r="J299" s="237">
        <f>ROUND(SUM(H299,I300:I302),2)</f>
        <v>21562.12</v>
      </c>
      <c r="K299" s="235">
        <f>SUM(SUMIFS(K4:K298,$B$4:$B$298,"ปริญญาตรี",$A$4:$A$298,"รวมทั้งวิทยาเขตสระแก้ว"),
     SUMIFS(K4:K298,$B$4:$B$298,"ปริญญาตรี",$A$4:$A$298,"รวมทั้งวิทยาเขตจันทบุรี"),
     SUMIFS(K4:K298,$B$4:$B$298,"ปริญญาตรี",$A$4:$A$298,"รวมทั้งวิทยาเขตบางแสน"))</f>
        <v>5832</v>
      </c>
      <c r="L299" s="236">
        <f>SUM(SUMIFS(L4:L298,$B$4:$B$298,"ปริญญาตรี",$A$4:$A$298,"รวมทั้งวิทยาเขตสระแก้ว"),
     SUMIFS(L4:L298,$B$4:$B$298,"ปริญญาตรี",$A$4:$A$298,"รวมทั้งวิทยาเขตจันทบุรี"),
     SUMIFS(L4:L298,$B$4:$B$298,"ปริญญาตรี",$A$4:$A$298,"รวมทั้งวิทยาเขตบางแสน"))</f>
        <v>324.0100000000001</v>
      </c>
      <c r="M299" s="236"/>
      <c r="N299" s="237">
        <f>ROUND(SUM(L299,M300:M302),2)</f>
        <v>342.76</v>
      </c>
      <c r="O299" s="235">
        <f>SUM(SUMIFS(O4:O298,$B$4:$B$298,"ปริญญาตรี",$A$4:$A$298,"รวมทั้งวิทยาเขตสระแก้ว"),
     SUMIFS(O4:O298,$B$4:$B$298,"ปริญญาตรี",$A$4:$A$298,"รวมทั้งวิทยาเขตจันทบุรี"),
     SUMIFS(O4:O298,$B$4:$B$298,"ปริญญาตรี",$A$4:$A$298,"รวมทั้งวิทยาเขตบางแสน"))</f>
        <v>782701.94799999997</v>
      </c>
      <c r="P299" s="236">
        <f>SUM(SUMIFS(P4:P298,$B$4:$B$298,"ปริญญาตรี",$A$4:$A$298,"รวมทั้งวิทยาเขตสระแก้ว"),
     SUMIFS(P4:P298,$B$4:$B$298,"ปริญญาตรี",$A$4:$A$298,"รวมทั้งวิทยาเขตจันทบุรี"),
     SUMIFS(P4:P298,$B$4:$B$298,"ปริญญาตรี",$A$4:$A$298,"รวมทั้งวิทยาเขตบางแสน"))</f>
        <v>21741.759999999998</v>
      </c>
      <c r="Q299" s="236"/>
      <c r="R299" s="237">
        <f>ROUND(SUM(P299,Q300:Q302),2)</f>
        <v>22303.89</v>
      </c>
    </row>
    <row r="300" spans="1:26" ht="18.75" customHeight="1" x14ac:dyDescent="0.35">
      <c r="A300" s="169" t="s">
        <v>92</v>
      </c>
      <c r="B300" s="160" t="s">
        <v>64</v>
      </c>
      <c r="C300" s="238">
        <f>SUM(SUMIFS(C4:C298,$B$4:$B$298,"ป.บัณฑิต",$A$4:$A$298,"รวมทั้งวิทยาเขตสระแก้ว"),
     SUMIFS(C4:C298,$B$4:$B$298,"ป.บัณฑิต",$A$4:$A$298,"รวมทั้งวิทยาเขตจันทบุรี"),
     SUMIFS(C4:C298,$B$4:$B$298,"ป.บัณฑิต",$A$4:$A$298,"รวมทั้งวิทยาเขตบางแสน"))</f>
        <v>0</v>
      </c>
      <c r="D300" s="236">
        <f>SUM(SUMIFS(D4:D298,$B$4:$B$298,"ป.บัณฑิต",$A$4:$A$298,"รวมทั้งวิทยาเขตสระแก้ว"),
     SUMIFS(D4:D298,$B$4:$B$298,"ป.บัณฑิต",$A$4:$A$298,"รวมทั้งวิทยาเขตจันทบุรี"),
     SUMIFS(D4:D298,$B$4:$B$298,"ป.บัณฑิต",$A$4:$A$298,"รวมทั้งวิทยาเขตบางแสน"))</f>
        <v>0</v>
      </c>
      <c r="E300" s="236">
        <f>SUM(SUMIFS(E4:E298,$B$4:$B$298,"ป.บัณฑิต",$A$4:$A$298,"รวมทั้งวิทยาเขตสระแก้ว"),
     SUMIFS(E4:E298,$B$4:$B$298,"ป.บัณฑิต",$A$4:$A$298,"รวมทั้งวิทยาเขตจันทบุรี"),
     SUMIFS(E4:E298,$B$4:$B$298,"ป.บัณฑิต",$A$4:$A$298,"รวมทั้งวิทยาเขตบางแสน"))</f>
        <v>0</v>
      </c>
      <c r="F300" s="239"/>
      <c r="G300" s="238">
        <f>SUM(SUMIFS(G4:G298,$B$4:$B$298,"ป.บัณฑิต",$A$4:$A$298,"รวมทั้งวิทยาเขตสระแก้ว"),
     SUMIFS(G4:G298,$B$4:$B$298,"ป.บัณฑิต",$A$4:$A$298,"รวมทั้งวิทยาเขตจันทบุรี"),
     SUMIFS(G4:G298,$B$4:$B$298,"ป.บัณฑิต",$A$4:$A$298,"รวมทั้งวิทยาเขตบางแสน"))</f>
        <v>0</v>
      </c>
      <c r="H300" s="236">
        <f>SUM(SUMIFS(H4:H298,$B$4:$B$298,"ป.บัณฑิต",$A$4:$A$298,"รวมทั้งวิทยาเขตสระแก้ว"),
     SUMIFS(H4:H298,$B$4:$B$298,"ป.บัณฑิต",$A$4:$A$298,"รวมทั้งวิทยาเขตจันทบุรี"),
     SUMIFS(H4:H298,$B$4:$B$298,"ป.บัณฑิต",$A$4:$A$298,"รวมทั้งวิทยาเขตบางแสน"))</f>
        <v>0</v>
      </c>
      <c r="I300" s="236">
        <f>SUM(SUMIFS(I4:I298,$B$4:$B$298,"ป.บัณฑิต",$A$4:$A$298,"รวมทั้งวิทยาเขตสระแก้ว"),
     SUMIFS(I4:I298,$B$4:$B$298,"ป.บัณฑิต",$A$4:$A$298,"รวมทั้งวิทยาเขตจันทบุรี"),
     SUMIFS(I4:I298,$B$4:$B$298,"ป.บัณฑิต",$A$4:$A$298,"รวมทั้งวิทยาเขตบางแสน"))</f>
        <v>0</v>
      </c>
      <c r="J300" s="239"/>
      <c r="K300" s="238">
        <f>SUM(SUMIFS(K4:K298,$B$4:$B$298,"ป.บัณฑิต",$A$4:$A$298,"รวมทั้งวิทยาเขตสระแก้ว"),
     SUMIFS(K4:K298,$B$4:$B$298,"ป.บัณฑิต",$A$4:$A$298,"รวมทั้งวิทยาเขตจันทบุรี"),
     SUMIFS(K4:K298,$B$4:$B$298,"ป.บัณฑิต",$A$4:$A$298,"รวมทั้งวิทยาเขตบางแสน"))</f>
        <v>0</v>
      </c>
      <c r="L300" s="236">
        <f>SUM(SUMIFS(L4:L298,$B$4:$B$298,"ป.บัณฑิต",$A$4:$A$298,"รวมทั้งวิทยาเขตสระแก้ว"),
     SUMIFS(L4:L298,$B$4:$B$298,"ป.บัณฑิต",$A$4:$A$298,"รวมทั้งวิทยาเขตจันทบุรี"),
     SUMIFS(L4:L298,$B$4:$B$298,"ป.บัณฑิต",$A$4:$A$298,"รวมทั้งวิทยาเขตบางแสน"))</f>
        <v>0</v>
      </c>
      <c r="M300" s="236">
        <f>SUM(SUMIFS(M4:M298,$B$4:$B$298,"ป.บัณฑิต",$A$4:$A$298,"รวมทั้งวิทยาเขตสระแก้ว"),
     SUMIFS(M4:M298,$B$4:$B$298,"ป.บัณฑิต",$A$4:$A$298,"รวมทั้งวิทยาเขตจันทบุรี"),
     SUMIFS(M4:M298,$B$4:$B$298,"ป.บัณฑิต",$A$4:$A$298,"รวมทั้งวิทยาเขตบางแสน"))</f>
        <v>0</v>
      </c>
      <c r="N300" s="239"/>
      <c r="O300" s="238">
        <f>SUM(SUMIFS(O4:O298,$B$4:$B$298,"ป.บัณฑิต",$A$4:$A$298,"รวมทั้งวิทยาเขตสระแก้ว"),
     SUMIFS(O4:O298,$B$4:$B$298,"ป.บัณฑิต",$A$4:$A$298,"รวมทั้งวิทยาเขตจันทบุรี"),
     SUMIFS(O4:O298,$B$4:$B$298,"ป.บัณฑิต",$A$4:$A$298,"รวมทั้งวิทยาเขตบางแสน"))</f>
        <v>0</v>
      </c>
      <c r="P300" s="236">
        <f>SUM(SUMIFS(P4:P298,$B$4:$B$298,"ป.บัณฑิต",$A$4:$A$298,"รวมทั้งวิทยาเขตสระแก้ว"),
     SUMIFS(P4:P298,$B$4:$B$298,"ป.บัณฑิต",$A$4:$A$298,"รวมทั้งวิทยาเขตจันทบุรี"),
     SUMIFS(P4:P298,$B$4:$B$298,"ป.บัณฑิต",$A$4:$A$298,"รวมทั้งวิทยาเขตบางแสน"))</f>
        <v>0</v>
      </c>
      <c r="Q300" s="236">
        <f>SUM(SUMIFS(Q4:Q298,$B$4:$B$298,"ป.บัณฑิต",$A$4:$A$298,"รวมทั้งวิทยาเขตสระแก้ว"),
     SUMIFS(Q4:Q298,$B$4:$B$298,"ป.บัณฑิต",$A$4:$A$298,"รวมทั้งวิทยาเขตจันทบุรี"),
     SUMIFS(Q4:Q298,$B$4:$B$298,"ป.บัณฑิต",$A$4:$A$298,"รวมทั้งวิทยาเขตบางแสน"))</f>
        <v>0</v>
      </c>
      <c r="R300" s="239"/>
    </row>
    <row r="301" spans="1:26" ht="18.75" customHeight="1" x14ac:dyDescent="0.35">
      <c r="A301" s="169" t="s">
        <v>92</v>
      </c>
      <c r="B301" s="160" t="s">
        <v>9</v>
      </c>
      <c r="C301" s="240">
        <f>SUM(SUMIFS(C4:C298,$B$4:$B$298,"ปริญญาโท",$A$4:$A$298,"รวมทั้งวิทยาเขตสระแก้ว"),
     SUMIFS(C4:C298,$B$4:$B$298,"ปริญญาโท",$A$4:$A$298,"รวมทั้งวิทยาเขตจันทบุรี"),
     SUMIFS(C4:C298,$B$4:$B$298,"ปริญญาโท",$A$4:$A$298,"รวมทั้งวิทยาเขตบางแสน"))</f>
        <v>2787</v>
      </c>
      <c r="D301" s="241">
        <f>SUM(SUMIFS(D4:D298,$B$4:$B$298,"ปริญญาโท",$A$4:$A$298,"รวมทั้งวิทยาเขตสระแก้ว"),
     SUMIFS(D4:D298,$B$4:$B$298,"ปริญญาโท",$A$4:$A$298,"รวมทั้งวิทยาเขตจันทบุรี"),
     SUMIFS(D4:D298,$B$4:$B$298,"ปริญญาโท",$A$4:$A$298,"รวมทั้งวิทยาเขตบางแสน"))</f>
        <v>232.25</v>
      </c>
      <c r="E301" s="241">
        <f>SUM(SUMIFS(E4:E298,$B$4:$B$298,"ปริญญาโท",$A$4:$A$298,"รวมทั้งวิทยาเขตสระแก้ว"),
     SUMIFS(E4:E298,$B$4:$B$298,"ปริญญาโท",$A$4:$A$298,"รวมทั้งวิทยาเขตจันทบุรี"),
     SUMIFS(E4:E298,$B$4:$B$298,"ปริญญาโท",$A$4:$A$298,"รวมทั้งวิทยาเขตบางแสน"))</f>
        <v>320.62</v>
      </c>
      <c r="F301" s="239"/>
      <c r="G301" s="240">
        <f>SUM(SUMIFS(G4:G298,$B$4:$B$298,"ปริญญาโท",$A$4:$A$298,"รวมทั้งวิทยาเขตสระแก้ว"),
     SUMIFS(G4:G298,$B$4:$B$298,"ปริญญาโท",$A$4:$A$298,"รวมทั้งวิทยาเขตจันทบุรี"),
     SUMIFS(G4:G298,$B$4:$B$298,"ปริญญาโท",$A$4:$A$298,"รวมทั้งวิทยาเขตบางแสน"))</f>
        <v>3039</v>
      </c>
      <c r="H301" s="241">
        <f>SUM(SUMIFS(H4:H298,$B$4:$B$298,"ปริญญาโท",$A$4:$A$298,"รวมทั้งวิทยาเขตสระแก้ว"),
     SUMIFS(H4:H298,$B$4:$B$298,"ปริญญาโท",$A$4:$A$298,"รวมทั้งวิทยาเขตจันทบุรี"),
     SUMIFS(H4:H298,$B$4:$B$298,"ปริญญาโท",$A$4:$A$298,"รวมทั้งวิทยาเขตบางแสน"))</f>
        <v>253.25</v>
      </c>
      <c r="I301" s="241">
        <f>SUM(SUMIFS(I4:I298,$B$4:$B$298,"ปริญญาโท",$A$4:$A$298,"รวมทั้งวิทยาเขตสระแก้ว"),
     SUMIFS(I4:I298,$B$4:$B$298,"ปริญญาโท",$A$4:$A$298,"รวมทั้งวิทยาเขตจันทบุรี"),
     SUMIFS(I4:I298,$B$4:$B$298,"ปริญญาโท",$A$4:$A$298,"รวมทั้งวิทยาเขตบางแสน"))</f>
        <v>375.45500000000004</v>
      </c>
      <c r="J301" s="239"/>
      <c r="K301" s="240">
        <f>SUM(SUMIFS(K4:K298,$B$4:$B$298,"ปริญญาโท",$A$4:$A$298,"รวมทั้งวิทยาเขตสระแก้ว"),
     SUMIFS(K4:K298,$B$4:$B$298,"ปริญญาโท",$A$4:$A$298,"รวมทั้งวิทยาเขตจันทบุรี"),
     SUMIFS(K4:K298,$B$4:$B$298,"ปริญญาโท",$A$4:$A$298,"รวมทั้งวิทยาเขตบางแสน"))</f>
        <v>147</v>
      </c>
      <c r="L301" s="241">
        <f>SUM(SUMIFS(L4:L298,$B$4:$B$298,"ปริญญาโท",$A$4:$A$298,"รวมทั้งวิทยาเขตสระแก้ว"),
     SUMIFS(L4:L298,$B$4:$B$298,"ปริญญาโท",$A$4:$A$298,"รวมทั้งวิทยาเขตจันทบุรี"),
     SUMIFS(L4:L298,$B$4:$B$298,"ปริญญาโท",$A$4:$A$298,"รวมทั้งวิทยาเขตบางแสน"))</f>
        <v>12.25</v>
      </c>
      <c r="M301" s="241">
        <f>SUM(SUMIFS(M4:M298,$B$4:$B$298,"ปริญญาโท",$A$4:$A$298,"รวมทั้งวิทยาเขตสระแก้ว"),
     SUMIFS(M4:M298,$B$4:$B$298,"ปริญญาโท",$A$4:$A$298,"รวมทั้งวิทยาเขตจันทบุรี"),
     SUMIFS(M4:M298,$B$4:$B$298,"ปริญญาโท",$A$4:$A$298,"รวมทั้งวิทยาเขตบางแสน"))</f>
        <v>18.75</v>
      </c>
      <c r="N301" s="239"/>
      <c r="O301" s="240">
        <f>SUM(SUMIFS(O4:O298,$B$4:$B$298,"ปริญญาโท",$A$4:$A$298,"รวมทั้งวิทยาเขตสระแก้ว"),
     SUMIFS(O4:O298,$B$4:$B$298,"ปริญญาโท",$A$4:$A$298,"รวมทั้งวิทยาเขตจันทบุรี"),
     SUMIFS(O4:O298,$B$4:$B$298,"ปริญญาโท",$A$4:$A$298,"รวมทั้งวิทยาเขตบางแสน"))</f>
        <v>5973</v>
      </c>
      <c r="P301" s="241">
        <f>SUM(SUMIFS(P4:P298,$B$4:$B$298,"ปริญญาโท",$A$4:$A$298,"รวมทั้งวิทยาเขตสระแก้ว"),
     SUMIFS(P4:P298,$B$4:$B$298,"ปริญญาโท",$A$4:$A$298,"รวมทั้งวิทยาเขตจันทบุรี"),
     SUMIFS(P4:P298,$B$4:$B$298,"ปริญญาโท",$A$4:$A$298,"รวมทั้งวิทยาเขตบางแสน"))</f>
        <v>248.90999999999997</v>
      </c>
      <c r="Q301" s="241">
        <f>SUM(SUMIFS(Q4:Q298,$B$4:$B$298,"ปริญญาโท",$A$4:$A$298,"รวมทั้งวิทยาเขตสระแก้ว"),
     SUMIFS(Q4:Q298,$B$4:$B$298,"ปริญญาโท",$A$4:$A$298,"รวมทั้งวิทยาเขตจันทบุรี"),
     SUMIFS(Q4:Q298,$B$4:$B$298,"ปริญญาโท",$A$4:$A$298,"รวมทั้งวิทยาเขตบางแสน"))</f>
        <v>357.47299999999996</v>
      </c>
      <c r="R301" s="239"/>
    </row>
    <row r="302" spans="1:26" ht="18.75" customHeight="1" thickBot="1" x14ac:dyDescent="0.4">
      <c r="A302" s="170" t="s">
        <v>92</v>
      </c>
      <c r="B302" s="161" t="s">
        <v>10</v>
      </c>
      <c r="C302" s="242">
        <f>SUM(SUMIFS(C4:C298,$B$4:$B$298,"ปริญญาเอก",$A$4:$A$298,"รวมทั้งวิทยาเขตสระแก้ว"),
     SUMIFS(C4:C298,$B$4:$B$298,"ปริญญาเอก",$A$4:$A$298,"รวมทั้งวิทยาเขตจันทบุรี"),
     SUMIFS(C4:C298,$B$4:$B$298,"ปริญญาเอก",$A$4:$A$298,"รวมทั้งวิทยาเขตบางแสน"))</f>
        <v>1341</v>
      </c>
      <c r="D302" s="243">
        <f>SUM(SUMIFS(D4:D298,$B$4:$B$298,"ปริญญาเอก",$A$4:$A$298,"รวมทั้งวิทยาเขตสระแก้ว"),
     SUMIFS(D4:D298,$B$4:$B$298,"ปริญญาเอก",$A$4:$A$298,"รวมทั้งวิทยาเขตจันทบุรี"),
     SUMIFS(D4:D298,$B$4:$B$298,"ปริญญาเอก",$A$4:$A$298,"รวมทั้งวิทยาเขตบางแสน"))</f>
        <v>111.76</v>
      </c>
      <c r="E302" s="243">
        <f>SUM(SUMIFS(E4:E298,$B$4:$B$298,"ปริญญาเอก",$A$4:$A$298,"รวมทั้งวิทยาเขตสระแก้ว"),
     SUMIFS(E4:E298,$B$4:$B$298,"ปริญญาเอก",$A$4:$A$298,"รวมทั้งวิทยาเขตจันทบุรี"),
     SUMIFS(E4:E298,$B$4:$B$298,"ปริญญาเอก",$A$4:$A$298,"รวมทั้งวิทยาเขตบางแสน"))</f>
        <v>173.57999999999998</v>
      </c>
      <c r="F302" s="244"/>
      <c r="G302" s="242">
        <f>SUM(SUMIFS(G4:G298,$B$4:$B$298,"ปริญญาเอก",$A$4:$A$298,"รวมทั้งวิทยาเขตสระแก้ว"),
     SUMIFS(G4:G298,$B$4:$B$298,"ปริญญาเอก",$A$4:$A$298,"รวมทั้งวิทยาเขตจันทบุรี"),
     SUMIFS(G4:G298,$B$4:$B$298,"ปริญญาเอก",$A$4:$A$298,"รวมทั้งวิทยาเขตบางแสน"))</f>
        <v>1775</v>
      </c>
      <c r="H302" s="243">
        <f>SUM(SUMIFS(H4:H298,$B$4:$B$298,"ปริญญาเอก",$A$4:$A$298,"รวมทั้งวิทยาเขตสระแก้ว"),
     SUMIFS(H4:H298,$B$4:$B$298,"ปริญญาเอก",$A$4:$A$298,"รวมทั้งวิทยาเขตจันทบุรี"),
     SUMIFS(H4:H298,$B$4:$B$298,"ปริญญาเอก",$A$4:$A$298,"รวมทั้งวิทยาเขตบางแสน"))</f>
        <v>147.91999999999996</v>
      </c>
      <c r="I302" s="243">
        <f>SUM(SUMIFS(I4:I298,$B$4:$B$298,"ปริญญาเอก",$A$4:$A$298,"รวมทั้งวิทยาเขตสระแก้ว"),
     SUMIFS(I4:I298,$B$4:$B$298,"ปริญญาเอก",$A$4:$A$298,"รวมทั้งวิทยาเขตจันทบุรี"),
     SUMIFS(I4:I298,$B$4:$B$298,"ปริญญาเอก",$A$4:$A$298,"รวมทั้งวิทยาเขตบางแสน"))</f>
        <v>235.60499999999999</v>
      </c>
      <c r="J302" s="244"/>
      <c r="K302" s="242">
        <f>SUM(SUMIFS(K4:K298,$B$4:$B$298,"ปริญญาเอก",$A$4:$A$298,"รวมทั้งวิทยาเขตสระแก้ว"),
     SUMIFS(K4:K298,$B$4:$B$298,"ปริญญาเอก",$A$4:$A$298,"รวมทั้งวิทยาเขตจันทบุรี"),
     SUMIFS(K4:K298,$B$4:$B$298,"ปริญญาเอก",$A$4:$A$298,"รวมทั้งวิทยาเขตบางแสน"))</f>
        <v>0</v>
      </c>
      <c r="L302" s="243">
        <f>SUM(SUMIFS(L4:L298,$B$4:$B$298,"ปริญญาเอก",$A$4:$A$298,"รวมทั้งวิทยาเขตสระแก้ว"),
     SUMIFS(L4:L298,$B$4:$B$298,"ปริญญาเอก",$A$4:$A$298,"รวมทั้งวิทยาเขตจันทบุรี"),
     SUMIFS(L4:L298,$B$4:$B$298,"ปริญญาเอก",$A$4:$A$298,"รวมทั้งวิทยาเขตบางแสน"))</f>
        <v>0</v>
      </c>
      <c r="M302" s="243">
        <f>SUM(SUMIFS(M4:M298,$B$4:$B$298,"ปริญญาเอก",$A$4:$A$298,"รวมทั้งวิทยาเขตสระแก้ว"),
     SUMIFS(M4:M298,$B$4:$B$298,"ปริญญาเอก",$A$4:$A$298,"รวมทั้งวิทยาเขตจันทบุรี"),
     SUMIFS(M4:M298,$B$4:$B$298,"ปริญญาเอก",$A$4:$A$298,"รวมทั้งวิทยาเขตบางแสน"))</f>
        <v>0</v>
      </c>
      <c r="N302" s="244"/>
      <c r="O302" s="242">
        <f>SUM(SUMIFS(O4:O298,$B$4:$B$298,"ปริญญาเอก",$A$4:$A$298,"รวมทั้งวิทยาเขตสระแก้ว"),
     SUMIFS(O4:O298,$B$4:$B$298,"ปริญญาเอก",$A$4:$A$298,"รวมทั้งวิทยาเขตจันทบุรี"),
     SUMIFS(O4:O298,$B$4:$B$298,"ปริญญาเอก",$A$4:$A$298,"รวมทั้งวิทยาเขตบางแสน"))</f>
        <v>3116</v>
      </c>
      <c r="P302" s="243">
        <f>SUM(SUMIFS(P4:P298,$B$4:$B$298,"ปริญญาเอก",$A$4:$A$298,"รวมทั้งวิทยาเขตสระแก้ว"),
     SUMIFS(P4:P298,$B$4:$B$298,"ปริญญาเอก",$A$4:$A$298,"รวมทั้งวิทยาเขตจันทบุรี"),
     SUMIFS(P4:P298,$B$4:$B$298,"ปริญญาเอก",$A$4:$A$298,"รวมทั้งวิทยาเขตบางแสน"))</f>
        <v>129.88</v>
      </c>
      <c r="Q302" s="243">
        <f>SUM(SUMIFS(Q4:Q298,$B$4:$B$298,"ปริญญาเอก",$A$4:$A$298,"รวมทั้งวิทยาเขตสระแก้ว"),
     SUMIFS(Q4:Q298,$B$4:$B$298,"ปริญญาเอก",$A$4:$A$298,"รวมทั้งวิทยาเขตจันทบุรี"),
     SUMIFS(Q4:Q298,$B$4:$B$298,"ปริญญาเอก",$A$4:$A$298,"รวมทั้งวิทยาเขตบางแสน"))</f>
        <v>204.65299999999996</v>
      </c>
      <c r="R302" s="244"/>
    </row>
    <row r="303" spans="1:26" ht="18.75" customHeight="1" x14ac:dyDescent="0.35">
      <c r="C303" s="101"/>
      <c r="D303" s="100"/>
      <c r="E303" s="100"/>
      <c r="F303" s="100"/>
      <c r="G303" s="69"/>
      <c r="H303" s="100"/>
      <c r="I303" s="100"/>
      <c r="J303" s="100"/>
      <c r="K303" s="101"/>
      <c r="L303" s="100"/>
      <c r="M303" s="100"/>
      <c r="N303" s="100"/>
      <c r="O303" s="69"/>
      <c r="P303" s="100"/>
      <c r="Q303" s="100"/>
      <c r="R303" s="102"/>
    </row>
    <row r="304" spans="1:26" ht="18.75" customHeight="1" x14ac:dyDescent="0.35">
      <c r="C304" s="101"/>
      <c r="D304" s="100"/>
      <c r="E304" s="100"/>
      <c r="F304" s="100"/>
      <c r="G304" s="69"/>
      <c r="H304" s="100"/>
      <c r="I304" s="100"/>
      <c r="J304" s="100"/>
      <c r="K304" s="101"/>
      <c r="L304" s="100"/>
      <c r="M304" s="100"/>
      <c r="N304" s="100"/>
      <c r="O304" s="69"/>
      <c r="P304" s="100"/>
      <c r="Q304" s="100"/>
      <c r="R304" s="102"/>
    </row>
    <row r="305" spans="3:18" ht="18.75" customHeight="1" x14ac:dyDescent="0.35">
      <c r="C305" s="101"/>
      <c r="D305" s="100"/>
      <c r="E305" s="100"/>
      <c r="F305" s="100"/>
      <c r="G305" s="69"/>
      <c r="H305" s="100"/>
      <c r="I305" s="100"/>
      <c r="J305" s="100"/>
      <c r="K305" s="101"/>
      <c r="L305" s="100"/>
      <c r="M305" s="100"/>
      <c r="N305" s="100"/>
      <c r="O305" s="69"/>
      <c r="P305" s="100"/>
      <c r="Q305" s="100"/>
      <c r="R305" s="102"/>
    </row>
  </sheetData>
  <mergeCells count="6">
    <mergeCell ref="O2:R2"/>
    <mergeCell ref="A2:A3"/>
    <mergeCell ref="B2:B3"/>
    <mergeCell ref="G2:J2"/>
    <mergeCell ref="C2:F2"/>
    <mergeCell ref="K2:N2"/>
  </mergeCells>
  <conditionalFormatting sqref="B286">
    <cfRule type="expression" dxfId="23" priority="14">
      <formula>INT(B286)=B286</formula>
    </cfRule>
  </conditionalFormatting>
  <conditionalFormatting sqref="C4:R302">
    <cfRule type="expression" dxfId="22" priority="1">
      <formula>ABS(C4-INT(C4))&lt;0.01</formula>
    </cfRule>
  </conditionalFormatting>
  <conditionalFormatting sqref="G1">
    <cfRule type="expression" dxfId="21" priority="89">
      <formula>$G$1="ปิด"</formula>
    </cfRule>
  </conditionalFormatting>
  <conditionalFormatting sqref="I1:K1">
    <cfRule type="expression" dxfId="20" priority="100">
      <formula>$G$1="เปิด"</formula>
    </cfRule>
    <cfRule type="expression" dxfId="19" priority="101">
      <formula>OR($G$1="ปิด", $G$1="")</formula>
    </cfRule>
  </conditionalFormatting>
  <dataValidations count="2">
    <dataValidation allowBlank="1" sqref="D1:F1" xr:uid="{FA6BB213-3DED-4996-BD04-340D8E98BEBA}"/>
    <dataValidation type="list" showInputMessage="1" showErrorMessage="1" sqref="G1" xr:uid="{1EF97D9F-0BC3-4851-8D7A-3B93B790CAD1}">
      <formula1>"เปิด, ปิด, "</formula1>
    </dataValidation>
  </dataValidations>
  <printOptions horizontalCentered="1"/>
  <pageMargins left="0.2" right="0.19685039370078741" top="0.31496062992125984" bottom="0.31496062992125984" header="0" footer="0"/>
  <pageSetup paperSize="9" scale="70" orientation="landscape" r:id="rId1"/>
  <headerFooter>
    <oddFooter>&amp;CPage &amp;P of</oddFooter>
  </headerFooter>
  <ignoredErrors>
    <ignoredError sqref="P52:R52 P220 P2:R2 O270:R271 O55:R55 O4:R4 O253:R253 Q3:R3 P196 O224:R224 P250 P251:Q252 O257:R257 P254 O261:R261 P258 P262 O20:R20 P7:Q7 O24:R24 P22:Q23 P28:R28 P26:Q27 P31:R31 P29:Q30 P34:R34 P32:Q33 P37:R37 P35:Q36 P40:R40 P38:Q39 P43:R43 P41:Q42 P46:R46 P44:Q45 P49:R49 P47:Q48 P50:Q51 P53:Q54 O59:R59 P57:Q58 O63:R63 P60 R60 P61:Q62 P67 P65:Q66 P70 P68:Q69 P73 P71:Q72 P76 P74:Q75 P79 P77:Q78 P82 P80:Q81 P88 P83:Q84 P91 P89:Q90 P94 P92:Q93 P97 P95:Q96 P100 P98:Q99 O103:R103 P101:Q102 P107 P105:Q106 P110 P108:Q109 P113 P111:Q112 O116:R116 P114:Q115 O120:R120 P118:Q119 O124:R124 P122:Q123 P128 P126:Q127 P131 P129:Q130 P134 P132:Q133 P137 P135:Q136 P140 P138:Q139 P143 P141:Q142 P146 P144:Q145 P149 P147:Q148 P152 P150:Q151 P158 P153:Q154 O161:R161 P159:Q160 O165:R165 P163:Q164 P169 P167:Q168 P172 P170:Q171 P175 P173:Q174 P178 P176:Q177 P181 P179:Q180 P184 P182:Q183 O187:R187 P185:Q186 O191:R191 P189:Q190 P197:Q199 P208 P209:Q211 P212 P213:Q215 P221:Q223 O228:R228 P226:Q227 P232 P230:Q231 P235 P233:Q234 P241 P236:Q237 P244 P242:Q243 P245:Q246 P255:Q256 P259:Q260 P263:Q264 O275:R275 P273:Q274 O279:R279 P277:Q278 P281:Q282 P272 P276 P280 P56 R56 P64 R64 R67 R70 R73 R76 R79 R82 R88 R91 R94 R97 R100 P104 R104 R107 R110 R113 P117 R117 P121 R121 P125 R125 R128 R131 R134 R137 R140 R143 R146 R149 R152 R158 P162 R162 P166 R166 R169 R172 R175 R178 R181 R184 P188 R188 R208 R212 R220 P225 R225 P229 R229 R232 R235 R241 R244 R250 R254 R258 R262 R272 R276 R280 P5:R5 P6:Q6 P21:R21 P25:R25"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44546A"/>
  </sheetPr>
  <dimension ref="A1:Z289"/>
  <sheetViews>
    <sheetView showGridLines="0" zoomScaleNormal="100" workbookViewId="0">
      <pane xSplit="2" ySplit="3" topLeftCell="C4" activePane="bottomRight" state="frozen"/>
      <selection activeCell="A20" sqref="A20"/>
      <selection pane="topRight" activeCell="A20" sqref="A20"/>
      <selection pane="bottomLeft" activeCell="A20" sqref="A20"/>
      <selection pane="bottomRight" activeCell="C4" sqref="C4"/>
    </sheetView>
  </sheetViews>
  <sheetFormatPr defaultColWidth="12.625" defaultRowHeight="15" customHeight="1" x14ac:dyDescent="0.35"/>
  <cols>
    <col min="1" max="1" width="30.25" style="64" customWidth="1"/>
    <col min="2" max="2" width="9" style="64" bestFit="1" customWidth="1"/>
    <col min="3" max="3" width="9.125" style="63" customWidth="1"/>
    <col min="4" max="7" width="8.375" style="64" customWidth="1"/>
    <col min="8" max="8" width="8.875" style="64" customWidth="1"/>
    <col min="9" max="9" width="8.375" style="64" customWidth="1"/>
    <col min="10" max="10" width="8.875" style="64" customWidth="1"/>
    <col min="11" max="11" width="8.375" style="63" customWidth="1"/>
    <col min="12" max="14" width="8.375" style="64" customWidth="1"/>
    <col min="15" max="15" width="10.375" style="64" customWidth="1"/>
    <col min="16" max="18" width="8.375" style="64" customWidth="1"/>
    <col min="19" max="26" width="9" style="64" customWidth="1"/>
    <col min="27" max="16384" width="12.625" style="64"/>
  </cols>
  <sheetData>
    <row r="1" spans="1:26" ht="18.75" customHeight="1" x14ac:dyDescent="0.35">
      <c r="A1" s="62" t="s">
        <v>115</v>
      </c>
      <c r="B1" s="62"/>
      <c r="D1" s="51"/>
      <c r="E1" s="71"/>
      <c r="F1" s="51"/>
      <c r="G1" s="115" t="s">
        <v>105</v>
      </c>
      <c r="H1" s="110" t="str">
        <f>IF($G$1="เปิด", "ป้อนคำค้น", "")</f>
        <v/>
      </c>
      <c r="I1" s="113" t="s">
        <v>109</v>
      </c>
      <c r="J1" s="113"/>
      <c r="K1" s="113"/>
      <c r="L1" s="114" t="str" cm="1">
        <f t="array" aca="1" ref="L1" ca="1">IF($G$1="เปิด", IF(I1="", "กรุณาพิมพ์คำค้นหาที่ H1", HYPERLINK("#A"&amp;MATCH("*"&amp;I1&amp;"*", A:A, 0), "🔎 คลิกเพื่อไปยัง: " &amp; _xlfn.XLOOKUP("*"&amp;I1&amp;"*", A4:A292, A4:A292, "ไม่พบข้อมูล", 2) &amp; " (" &amp; SUBSTITUTE(CELL("address", INDEX(A:A, MATCH("*"&amp;I1&amp;"*", A:A, 0))), "$", "") &amp; ")")), "")</f>
        <v/>
      </c>
      <c r="M1" s="114"/>
      <c r="N1" s="114"/>
      <c r="O1" s="114"/>
      <c r="P1" s="109"/>
      <c r="Q1" s="108" t="str" cm="1">
        <f t="array" aca="1" ref="Q1" ca="1">HYPERLINK(IF(รวมพิเศษ!$G$1="เปิด", "#" &amp; CELL("address", รวมพิเศษ!A1), "#Q1"), IF(รวมพิเศษ!$G$1="เปิด", "กลับ ↩", ""))</f>
        <v/>
      </c>
      <c r="R1" s="73"/>
      <c r="S1" s="65"/>
      <c r="T1" s="65"/>
      <c r="U1" s="65"/>
      <c r="V1" s="65"/>
      <c r="W1" s="65"/>
      <c r="X1" s="65"/>
      <c r="Y1" s="65"/>
      <c r="Z1" s="65"/>
    </row>
    <row r="2" spans="1:26" ht="21.75" customHeight="1" x14ac:dyDescent="0.35">
      <c r="A2" s="289" t="s">
        <v>0</v>
      </c>
      <c r="B2" s="291" t="s">
        <v>106</v>
      </c>
      <c r="C2" s="292" t="s">
        <v>112</v>
      </c>
      <c r="D2" s="293"/>
      <c r="E2" s="293"/>
      <c r="F2" s="294"/>
      <c r="G2" s="292" t="s">
        <v>102</v>
      </c>
      <c r="H2" s="293"/>
      <c r="I2" s="293"/>
      <c r="J2" s="294"/>
      <c r="K2" s="292" t="s">
        <v>103</v>
      </c>
      <c r="L2" s="293"/>
      <c r="M2" s="293"/>
      <c r="N2" s="294"/>
      <c r="O2" s="286" t="s">
        <v>113</v>
      </c>
      <c r="P2" s="295"/>
      <c r="Q2" s="295"/>
      <c r="R2" s="296"/>
    </row>
    <row r="3" spans="1:26" ht="66.75" customHeight="1" x14ac:dyDescent="0.35">
      <c r="A3" s="290"/>
      <c r="B3" s="297"/>
      <c r="C3" s="78" t="s">
        <v>1</v>
      </c>
      <c r="D3" s="75" t="s">
        <v>2</v>
      </c>
      <c r="E3" s="76" t="s">
        <v>3</v>
      </c>
      <c r="F3" s="77" t="s">
        <v>4</v>
      </c>
      <c r="G3" s="74" t="s">
        <v>1</v>
      </c>
      <c r="H3" s="75" t="s">
        <v>2</v>
      </c>
      <c r="I3" s="76" t="s">
        <v>3</v>
      </c>
      <c r="J3" s="77" t="s">
        <v>107</v>
      </c>
      <c r="K3" s="78" t="s">
        <v>1</v>
      </c>
      <c r="L3" s="75" t="s">
        <v>2</v>
      </c>
      <c r="M3" s="76" t="s">
        <v>3</v>
      </c>
      <c r="N3" s="77" t="s">
        <v>4</v>
      </c>
      <c r="O3" s="178" t="s">
        <v>110</v>
      </c>
      <c r="P3" s="76" t="s">
        <v>111</v>
      </c>
      <c r="Q3" s="76" t="s">
        <v>5</v>
      </c>
      <c r="R3" s="77" t="s">
        <v>4</v>
      </c>
    </row>
    <row r="4" spans="1:26" ht="18.75" customHeight="1" x14ac:dyDescent="0.35">
      <c r="A4" s="148" t="s">
        <v>11</v>
      </c>
      <c r="B4" s="144"/>
      <c r="C4" s="80"/>
      <c r="D4" s="28"/>
      <c r="E4" s="28"/>
      <c r="F4" s="29"/>
      <c r="G4" s="79"/>
      <c r="H4" s="28"/>
      <c r="I4" s="28"/>
      <c r="J4" s="29"/>
      <c r="K4" s="80"/>
      <c r="L4" s="28"/>
      <c r="M4" s="28"/>
      <c r="N4" s="29"/>
      <c r="O4" s="66"/>
      <c r="P4" s="66"/>
      <c r="Q4" s="30"/>
      <c r="R4" s="31"/>
    </row>
    <row r="5" spans="1:26" ht="18.75" customHeight="1" x14ac:dyDescent="0.35">
      <c r="A5" s="145" t="s">
        <v>7</v>
      </c>
      <c r="B5" s="145" t="s">
        <v>8</v>
      </c>
      <c r="C5" s="20">
        <v>50.35</v>
      </c>
      <c r="D5" s="20">
        <f>ROUND(C5/18,2)</f>
        <v>2.8</v>
      </c>
      <c r="E5" s="20"/>
      <c r="F5" s="21">
        <f>SUM(D5,E6:E7)</f>
        <v>2.8</v>
      </c>
      <c r="G5" s="81"/>
      <c r="H5" s="20">
        <f>ROUND(G5/18,2)</f>
        <v>0</v>
      </c>
      <c r="I5" s="20"/>
      <c r="J5" s="21">
        <f>SUM(H5,I6:I7)</f>
        <v>0</v>
      </c>
      <c r="K5" s="82"/>
      <c r="L5" s="20">
        <f>ROUND(K5/18,2)</f>
        <v>0</v>
      </c>
      <c r="M5" s="20"/>
      <c r="N5" s="21">
        <f>SUM(L5,M6:M7)</f>
        <v>0</v>
      </c>
      <c r="O5" s="22">
        <f t="shared" ref="O5:O7" si="0">SUMIF($C$3:$N$3,"SCH",C5:N5)</f>
        <v>50.35</v>
      </c>
      <c r="P5" s="22">
        <f>ROUND(O5/36,2)</f>
        <v>1.4</v>
      </c>
      <c r="Q5" s="22"/>
      <c r="R5" s="23">
        <f>SUM(P5,Q6:Q7)</f>
        <v>1.4</v>
      </c>
    </row>
    <row r="6" spans="1:26" ht="18.75" customHeight="1" x14ac:dyDescent="0.35">
      <c r="A6" s="145"/>
      <c r="B6" s="145" t="s">
        <v>9</v>
      </c>
      <c r="C6" s="140"/>
      <c r="D6" s="20">
        <f t="shared" ref="D6:D7" si="1">ROUND(C6/12,2)</f>
        <v>0</v>
      </c>
      <c r="E6" s="20">
        <f t="shared" ref="E6:E7" si="2">D6*1.8</f>
        <v>0</v>
      </c>
      <c r="F6" s="21"/>
      <c r="G6" s="81"/>
      <c r="H6" s="20">
        <f t="shared" ref="H6:H7" si="3">ROUND(G6/12,2)</f>
        <v>0</v>
      </c>
      <c r="I6" s="20">
        <f t="shared" ref="I6:I7" si="4">H6*1.8</f>
        <v>0</v>
      </c>
      <c r="J6" s="21"/>
      <c r="K6" s="82"/>
      <c r="L6" s="20">
        <f t="shared" ref="L6:L7" si="5">ROUND(K6/12,2)</f>
        <v>0</v>
      </c>
      <c r="M6" s="20">
        <f t="shared" ref="M6:M7" si="6">L6*1.8</f>
        <v>0</v>
      </c>
      <c r="N6" s="21"/>
      <c r="O6" s="22">
        <f t="shared" si="0"/>
        <v>0</v>
      </c>
      <c r="P6" s="22">
        <f t="shared" ref="P6:P7" si="7">ROUND(O6/24,2)</f>
        <v>0</v>
      </c>
      <c r="Q6" s="22">
        <f t="shared" ref="Q6:Q7" si="8">P6*1.8</f>
        <v>0</v>
      </c>
      <c r="R6" s="23"/>
    </row>
    <row r="7" spans="1:26" ht="18.75" customHeight="1" thickBot="1" x14ac:dyDescent="0.4">
      <c r="A7" s="146"/>
      <c r="B7" s="146" t="s">
        <v>10</v>
      </c>
      <c r="C7" s="298"/>
      <c r="D7" s="24">
        <f t="shared" si="1"/>
        <v>0</v>
      </c>
      <c r="E7" s="24">
        <f t="shared" si="2"/>
        <v>0</v>
      </c>
      <c r="F7" s="25"/>
      <c r="G7" s="83"/>
      <c r="H7" s="24">
        <f t="shared" si="3"/>
        <v>0</v>
      </c>
      <c r="I7" s="24">
        <f t="shared" si="4"/>
        <v>0</v>
      </c>
      <c r="J7" s="25"/>
      <c r="K7" s="84"/>
      <c r="L7" s="24">
        <f t="shared" si="5"/>
        <v>0</v>
      </c>
      <c r="M7" s="24">
        <f t="shared" si="6"/>
        <v>0</v>
      </c>
      <c r="N7" s="25"/>
      <c r="O7" s="92">
        <f t="shared" si="0"/>
        <v>0</v>
      </c>
      <c r="P7" s="26">
        <f t="shared" si="7"/>
        <v>0</v>
      </c>
      <c r="Q7" s="26">
        <f t="shared" si="8"/>
        <v>0</v>
      </c>
      <c r="R7" s="27"/>
    </row>
    <row r="8" spans="1:26" ht="18.75" customHeight="1" x14ac:dyDescent="0.35">
      <c r="A8" s="171" t="s">
        <v>125</v>
      </c>
      <c r="B8" s="147"/>
      <c r="C8" s="299"/>
      <c r="D8" s="86"/>
      <c r="E8" s="86"/>
      <c r="F8" s="87"/>
      <c r="G8" s="85"/>
      <c r="H8" s="86"/>
      <c r="I8" s="86"/>
      <c r="J8" s="87"/>
      <c r="K8" s="88"/>
      <c r="L8" s="86"/>
      <c r="M8" s="86"/>
      <c r="N8" s="87"/>
      <c r="O8" s="66"/>
      <c r="P8" s="89"/>
      <c r="Q8" s="89"/>
      <c r="R8" s="90"/>
    </row>
    <row r="9" spans="1:26" ht="18.75" customHeight="1" x14ac:dyDescent="0.35">
      <c r="A9" s="278" t="s">
        <v>38</v>
      </c>
      <c r="B9" s="145" t="s">
        <v>8</v>
      </c>
      <c r="C9" s="20">
        <v>286.89999999999998</v>
      </c>
      <c r="D9" s="20">
        <f>ROUND(C9/18,2)</f>
        <v>15.94</v>
      </c>
      <c r="E9" s="20"/>
      <c r="F9" s="21">
        <f>SUM(D9,E10:E11)</f>
        <v>15.94</v>
      </c>
      <c r="G9" s="81"/>
      <c r="H9" s="20">
        <f>ROUND(G9/18,2)</f>
        <v>0</v>
      </c>
      <c r="I9" s="20"/>
      <c r="J9" s="21">
        <f>SUM(H9,I10:I11)</f>
        <v>0</v>
      </c>
      <c r="K9" s="82"/>
      <c r="L9" s="20">
        <f>ROUND(K9/18,2)</f>
        <v>0</v>
      </c>
      <c r="M9" s="20"/>
      <c r="N9" s="21">
        <f>SUM(L9,M10:M11)</f>
        <v>0</v>
      </c>
      <c r="O9" s="22">
        <f t="shared" ref="O9:O11" si="9">SUMIF($C$3:$N$3,"SCH",C9:N9)</f>
        <v>286.89999999999998</v>
      </c>
      <c r="P9" s="22">
        <f>ROUND(O9/36,2)</f>
        <v>7.97</v>
      </c>
      <c r="Q9" s="22"/>
      <c r="R9" s="23">
        <f>SUM(P9,Q10:Q11)</f>
        <v>7.97</v>
      </c>
    </row>
    <row r="10" spans="1:26" ht="18.75" customHeight="1" x14ac:dyDescent="0.35">
      <c r="A10" s="172"/>
      <c r="B10" s="145" t="s">
        <v>9</v>
      </c>
      <c r="C10" s="140"/>
      <c r="D10" s="20">
        <f>ROUND(C10/12,2)</f>
        <v>0</v>
      </c>
      <c r="E10" s="20">
        <f>D10*1.8</f>
        <v>0</v>
      </c>
      <c r="F10" s="21"/>
      <c r="G10" s="81"/>
      <c r="H10" s="20">
        <f>ROUND(G10/12,2)</f>
        <v>0</v>
      </c>
      <c r="I10" s="20">
        <f>H10*1.8</f>
        <v>0</v>
      </c>
      <c r="J10" s="21"/>
      <c r="K10" s="82"/>
      <c r="L10" s="20">
        <f>ROUND(K10/12,2)</f>
        <v>0</v>
      </c>
      <c r="M10" s="20">
        <f>L10*1.8</f>
        <v>0</v>
      </c>
      <c r="N10" s="21"/>
      <c r="O10" s="22">
        <f t="shared" si="9"/>
        <v>0</v>
      </c>
      <c r="P10" s="22">
        <f>ROUND(O10/24,2)</f>
        <v>0</v>
      </c>
      <c r="Q10" s="22">
        <f>P10*1.8</f>
        <v>0</v>
      </c>
      <c r="R10" s="23"/>
    </row>
    <row r="11" spans="1:26" ht="18.75" customHeight="1" thickBot="1" x14ac:dyDescent="0.4">
      <c r="A11" s="146"/>
      <c r="B11" s="146" t="s">
        <v>10</v>
      </c>
      <c r="C11" s="298"/>
      <c r="D11" s="24">
        <f>ROUND(C11/12,2)</f>
        <v>0</v>
      </c>
      <c r="E11" s="24">
        <f>D11*1.8</f>
        <v>0</v>
      </c>
      <c r="F11" s="24"/>
      <c r="G11" s="83"/>
      <c r="H11" s="24">
        <f>ROUND(G11/12,2)</f>
        <v>0</v>
      </c>
      <c r="I11" s="24">
        <f>H11*1.8</f>
        <v>0</v>
      </c>
      <c r="J11" s="24"/>
      <c r="K11" s="84"/>
      <c r="L11" s="24">
        <f>ROUND(K11/12,2)</f>
        <v>0</v>
      </c>
      <c r="M11" s="24">
        <f>L11*1.8</f>
        <v>0</v>
      </c>
      <c r="N11" s="91"/>
      <c r="O11" s="92">
        <f t="shared" si="9"/>
        <v>0</v>
      </c>
      <c r="P11" s="26">
        <f>ROUND(O11/24,2)</f>
        <v>0</v>
      </c>
      <c r="Q11" s="26">
        <f>P11*1.8</f>
        <v>0</v>
      </c>
      <c r="R11" s="27"/>
    </row>
    <row r="12" spans="1:26" ht="18.75" customHeight="1" x14ac:dyDescent="0.35">
      <c r="A12" s="171" t="s">
        <v>6</v>
      </c>
      <c r="B12" s="147"/>
      <c r="C12" s="299"/>
      <c r="D12" s="86"/>
      <c r="E12" s="86"/>
      <c r="F12" s="87"/>
      <c r="G12" s="85"/>
      <c r="H12" s="86"/>
      <c r="I12" s="86"/>
      <c r="J12" s="87"/>
      <c r="K12" s="88"/>
      <c r="L12" s="86"/>
      <c r="M12" s="86"/>
      <c r="N12" s="87"/>
      <c r="O12" s="66"/>
      <c r="P12" s="89"/>
      <c r="Q12" s="89"/>
      <c r="R12" s="90"/>
    </row>
    <row r="13" spans="1:26" ht="18.75" customHeight="1" x14ac:dyDescent="0.35">
      <c r="A13" s="145" t="s">
        <v>7</v>
      </c>
      <c r="B13" s="145" t="s">
        <v>8</v>
      </c>
      <c r="C13" s="20">
        <f>18994+1920.9</f>
        <v>20914.900000000001</v>
      </c>
      <c r="D13" s="20">
        <f>ROUND(C13/18,2)</f>
        <v>1161.94</v>
      </c>
      <c r="E13" s="20"/>
      <c r="F13" s="21">
        <f>SUM(D13,E14:E15)</f>
        <v>1347.3400000000001</v>
      </c>
      <c r="G13" s="81">
        <f>3+24846</f>
        <v>24849</v>
      </c>
      <c r="H13" s="20">
        <f>ROUND(G13/18,2)</f>
        <v>1380.5</v>
      </c>
      <c r="I13" s="20"/>
      <c r="J13" s="21">
        <f>SUM(H13,I14:I15)</f>
        <v>1542.95</v>
      </c>
      <c r="K13" s="82">
        <v>18</v>
      </c>
      <c r="L13" s="20">
        <f>ROUND(K13/18,2)</f>
        <v>1</v>
      </c>
      <c r="M13" s="20"/>
      <c r="N13" s="21">
        <f>SUM(L13,M14:M15)</f>
        <v>5.5</v>
      </c>
      <c r="O13" s="22">
        <f t="shared" ref="O13:O19" si="10">SUMIF($C$3:$N$3,"SCH",C13:N13)</f>
        <v>45781.9</v>
      </c>
      <c r="P13" s="22">
        <f>ROUND(O13/36,2)</f>
        <v>1271.72</v>
      </c>
      <c r="Q13" s="22"/>
      <c r="R13" s="23">
        <f>SUM(P13,Q14:Q15)</f>
        <v>1447.904</v>
      </c>
    </row>
    <row r="14" spans="1:26" ht="18.75" customHeight="1" x14ac:dyDescent="0.35">
      <c r="A14" s="172"/>
      <c r="B14" s="145" t="s">
        <v>9</v>
      </c>
      <c r="C14" s="140">
        <f>162+1011</f>
        <v>1173</v>
      </c>
      <c r="D14" s="20">
        <f>ROUND(C14/12,2)</f>
        <v>97.75</v>
      </c>
      <c r="E14" s="20">
        <f>D14*1.8</f>
        <v>175.95000000000002</v>
      </c>
      <c r="F14" s="21"/>
      <c r="G14" s="81">
        <v>993</v>
      </c>
      <c r="H14" s="20">
        <f>ROUND(G14/12,2)</f>
        <v>82.75</v>
      </c>
      <c r="I14" s="20">
        <f>H14*1.8</f>
        <v>148.95000000000002</v>
      </c>
      <c r="J14" s="21"/>
      <c r="K14" s="82">
        <v>30</v>
      </c>
      <c r="L14" s="20">
        <f>ROUND(K14/12,2)</f>
        <v>2.5</v>
      </c>
      <c r="M14" s="20">
        <f>L14*1.8</f>
        <v>4.5</v>
      </c>
      <c r="N14" s="21"/>
      <c r="O14" s="22">
        <f t="shared" si="10"/>
        <v>2196</v>
      </c>
      <c r="P14" s="22">
        <f>ROUND(O14/24,2)</f>
        <v>91.5</v>
      </c>
      <c r="Q14" s="22">
        <f>P14*1.8</f>
        <v>164.70000000000002</v>
      </c>
      <c r="R14" s="23"/>
    </row>
    <row r="15" spans="1:26" ht="18.75" customHeight="1" thickBot="1" x14ac:dyDescent="0.4">
      <c r="A15" s="146"/>
      <c r="B15" s="146" t="s">
        <v>10</v>
      </c>
      <c r="C15" s="298">
        <f>18+45</f>
        <v>63</v>
      </c>
      <c r="D15" s="24">
        <f>ROUND(C15/12,2)</f>
        <v>5.25</v>
      </c>
      <c r="E15" s="24">
        <f>D15*1.8</f>
        <v>9.4500000000000011</v>
      </c>
      <c r="F15" s="24"/>
      <c r="G15" s="83">
        <v>90</v>
      </c>
      <c r="H15" s="24">
        <f>ROUND(G15/12,2)</f>
        <v>7.5</v>
      </c>
      <c r="I15" s="24">
        <f>H15*1.8</f>
        <v>13.5</v>
      </c>
      <c r="J15" s="24"/>
      <c r="K15" s="84"/>
      <c r="L15" s="24">
        <f>ROUND(K15/12,2)</f>
        <v>0</v>
      </c>
      <c r="M15" s="24">
        <f>L15*1.8</f>
        <v>0</v>
      </c>
      <c r="N15" s="91"/>
      <c r="O15" s="92">
        <f t="shared" si="10"/>
        <v>153</v>
      </c>
      <c r="P15" s="26">
        <f>ROUND(O15/24,2)</f>
        <v>6.38</v>
      </c>
      <c r="Q15" s="26">
        <f>P15*1.8</f>
        <v>11.484</v>
      </c>
      <c r="R15" s="27"/>
    </row>
    <row r="16" spans="1:26" ht="18.75" customHeight="1" x14ac:dyDescent="0.35">
      <c r="A16" s="148" t="s">
        <v>12</v>
      </c>
      <c r="B16" s="148"/>
      <c r="C16" s="268"/>
      <c r="D16" s="28"/>
      <c r="E16" s="28"/>
      <c r="F16" s="29"/>
      <c r="G16" s="79"/>
      <c r="H16" s="28"/>
      <c r="I16" s="28"/>
      <c r="J16" s="29"/>
      <c r="K16" s="80"/>
      <c r="L16" s="28"/>
      <c r="M16" s="28"/>
      <c r="N16" s="29"/>
      <c r="O16" s="30">
        <f t="shared" si="10"/>
        <v>0</v>
      </c>
      <c r="P16" s="30"/>
      <c r="Q16" s="30"/>
      <c r="R16" s="31"/>
    </row>
    <row r="17" spans="1:18" ht="18.75" customHeight="1" x14ac:dyDescent="0.35">
      <c r="A17" s="145" t="s">
        <v>7</v>
      </c>
      <c r="B17" s="145" t="s">
        <v>8</v>
      </c>
      <c r="C17" s="140"/>
      <c r="D17" s="20">
        <f>ROUND(C17/18,2)</f>
        <v>0</v>
      </c>
      <c r="E17" s="20"/>
      <c r="F17" s="21">
        <f>SUM(D17,E18:E19)</f>
        <v>100.25</v>
      </c>
      <c r="G17" s="81"/>
      <c r="H17" s="20">
        <f>ROUND(G17/18,2)</f>
        <v>0</v>
      </c>
      <c r="I17" s="20"/>
      <c r="J17" s="21">
        <f>SUM(H17,I18:I19)</f>
        <v>65.33</v>
      </c>
      <c r="K17" s="82"/>
      <c r="L17" s="20">
        <f>ROUND(K17/18,2)</f>
        <v>0</v>
      </c>
      <c r="M17" s="20"/>
      <c r="N17" s="21">
        <f>SUM(L17,M18:M19)</f>
        <v>0</v>
      </c>
      <c r="O17" s="22">
        <f t="shared" si="10"/>
        <v>0</v>
      </c>
      <c r="P17" s="22">
        <f>ROUND(O17/36,2)</f>
        <v>0</v>
      </c>
      <c r="Q17" s="22"/>
      <c r="R17" s="23">
        <f>SUM(P17,Q18:Q19)</f>
        <v>82.79</v>
      </c>
    </row>
    <row r="18" spans="1:18" ht="18.75" customHeight="1" x14ac:dyDescent="0.35">
      <c r="A18" s="172"/>
      <c r="B18" s="145" t="s">
        <v>9</v>
      </c>
      <c r="C18" s="140">
        <f>1183+20</f>
        <v>1203</v>
      </c>
      <c r="D18" s="20">
        <f t="shared" ref="D18:D19" si="11">ROUND(C18/12,2)</f>
        <v>100.25</v>
      </c>
      <c r="E18" s="20">
        <f t="shared" ref="E18:E19" si="12">D18*1</f>
        <v>100.25</v>
      </c>
      <c r="F18" s="21"/>
      <c r="G18" s="81">
        <v>784</v>
      </c>
      <c r="H18" s="20">
        <f t="shared" ref="H18:H19" si="13">ROUND(G18/12,2)</f>
        <v>65.33</v>
      </c>
      <c r="I18" s="20">
        <f t="shared" ref="I18:I19" si="14">H18*1</f>
        <v>65.33</v>
      </c>
      <c r="J18" s="21"/>
      <c r="K18" s="82"/>
      <c r="L18" s="20">
        <f t="shared" ref="L18:L19" si="15">ROUND(K18/12,2)</f>
        <v>0</v>
      </c>
      <c r="M18" s="20">
        <f t="shared" ref="M18:M19" si="16">L18*1</f>
        <v>0</v>
      </c>
      <c r="N18" s="21"/>
      <c r="O18" s="22">
        <f t="shared" si="10"/>
        <v>1987</v>
      </c>
      <c r="P18" s="22">
        <f t="shared" ref="P18:P19" si="17">ROUND(O18/24,2)</f>
        <v>82.79</v>
      </c>
      <c r="Q18" s="22">
        <f t="shared" ref="Q18:Q19" si="18">P18*1</f>
        <v>82.79</v>
      </c>
      <c r="R18" s="23"/>
    </row>
    <row r="19" spans="1:18" ht="18.75" customHeight="1" thickBot="1" x14ac:dyDescent="0.4">
      <c r="A19" s="146"/>
      <c r="B19" s="146" t="s">
        <v>10</v>
      </c>
      <c r="C19" s="298"/>
      <c r="D19" s="24">
        <f t="shared" si="11"/>
        <v>0</v>
      </c>
      <c r="E19" s="24">
        <f t="shared" si="12"/>
        <v>0</v>
      </c>
      <c r="F19" s="25"/>
      <c r="G19" s="83"/>
      <c r="H19" s="24">
        <f t="shared" si="13"/>
        <v>0</v>
      </c>
      <c r="I19" s="24">
        <f t="shared" si="14"/>
        <v>0</v>
      </c>
      <c r="J19" s="25"/>
      <c r="K19" s="84"/>
      <c r="L19" s="24">
        <f t="shared" si="15"/>
        <v>0</v>
      </c>
      <c r="M19" s="24">
        <f t="shared" si="16"/>
        <v>0</v>
      </c>
      <c r="N19" s="25"/>
      <c r="O19" s="92">
        <f t="shared" si="10"/>
        <v>0</v>
      </c>
      <c r="P19" s="26">
        <f t="shared" si="17"/>
        <v>0</v>
      </c>
      <c r="Q19" s="26">
        <f t="shared" si="18"/>
        <v>0</v>
      </c>
      <c r="R19" s="27"/>
    </row>
    <row r="20" spans="1:18" ht="18.75" customHeight="1" x14ac:dyDescent="0.35">
      <c r="A20" s="148" t="s">
        <v>13</v>
      </c>
      <c r="B20" s="149"/>
      <c r="C20" s="268"/>
      <c r="D20" s="28"/>
      <c r="E20" s="28"/>
      <c r="F20" s="29"/>
      <c r="G20" s="79"/>
      <c r="H20" s="28"/>
      <c r="I20" s="28"/>
      <c r="J20" s="29"/>
      <c r="K20" s="80"/>
      <c r="L20" s="28"/>
      <c r="M20" s="28"/>
      <c r="N20" s="29"/>
      <c r="O20" s="66"/>
      <c r="P20" s="30"/>
      <c r="Q20" s="30"/>
      <c r="R20" s="31"/>
    </row>
    <row r="21" spans="1:18" ht="18.75" customHeight="1" x14ac:dyDescent="0.35">
      <c r="A21" s="145" t="s">
        <v>7</v>
      </c>
      <c r="B21" s="150" t="s">
        <v>8</v>
      </c>
      <c r="C21" s="28">
        <v>448.51400000000001</v>
      </c>
      <c r="D21" s="28">
        <f>ROUND(C21/18,2)</f>
        <v>24.92</v>
      </c>
      <c r="E21" s="28"/>
      <c r="F21" s="29">
        <f>SUM(D21,E22:E23)</f>
        <v>24.92</v>
      </c>
      <c r="G21" s="79">
        <v>38</v>
      </c>
      <c r="H21" s="28">
        <f>ROUND(G21/18,2)</f>
        <v>2.11</v>
      </c>
      <c r="I21" s="28"/>
      <c r="J21" s="29">
        <f>SUM(H21,I22:I23)</f>
        <v>2.11</v>
      </c>
      <c r="K21" s="80"/>
      <c r="L21" s="28">
        <f>ROUND(K21/18,2)</f>
        <v>0</v>
      </c>
      <c r="M21" s="28"/>
      <c r="N21" s="29">
        <f>SUM(L21,M22:M23)</f>
        <v>0</v>
      </c>
      <c r="O21" s="22">
        <f t="shared" ref="O21:O50" si="19">SUMIF($C$3:$N$3,"SCH",C21:N21)</f>
        <v>486.51400000000001</v>
      </c>
      <c r="P21" s="30">
        <f>ROUND(O21/36,2)</f>
        <v>13.51</v>
      </c>
      <c r="Q21" s="30"/>
      <c r="R21" s="31">
        <f>SUM(P21,Q22:Q23)</f>
        <v>13.51</v>
      </c>
    </row>
    <row r="22" spans="1:18" ht="18.75" customHeight="1" x14ac:dyDescent="0.35">
      <c r="A22" s="148"/>
      <c r="B22" s="150" t="s">
        <v>9</v>
      </c>
      <c r="C22" s="268"/>
      <c r="D22" s="28">
        <f t="shared" ref="D22:D23" si="20">ROUND(C22/12,2)</f>
        <v>0</v>
      </c>
      <c r="E22" s="28">
        <f t="shared" ref="E22:E23" si="21">D22*1</f>
        <v>0</v>
      </c>
      <c r="F22" s="29"/>
      <c r="G22" s="79"/>
      <c r="H22" s="28">
        <f t="shared" ref="H22:H23" si="22">ROUND(G22/12,2)</f>
        <v>0</v>
      </c>
      <c r="I22" s="28">
        <f t="shared" ref="I22:I23" si="23">H22*1</f>
        <v>0</v>
      </c>
      <c r="J22" s="29"/>
      <c r="K22" s="80"/>
      <c r="L22" s="28">
        <f t="shared" ref="L22:L23" si="24">ROUND(K22/12,2)</f>
        <v>0</v>
      </c>
      <c r="M22" s="28">
        <f t="shared" ref="M22:M23" si="25">L22*1</f>
        <v>0</v>
      </c>
      <c r="N22" s="29"/>
      <c r="O22" s="22">
        <f t="shared" si="19"/>
        <v>0</v>
      </c>
      <c r="P22" s="30">
        <f t="shared" ref="P22:P23" si="26">ROUND(O22/24,2)</f>
        <v>0</v>
      </c>
      <c r="Q22" s="30">
        <f t="shared" ref="Q22:Q23" si="27">P22*1</f>
        <v>0</v>
      </c>
      <c r="R22" s="31"/>
    </row>
    <row r="23" spans="1:18" ht="18.75" customHeight="1" x14ac:dyDescent="0.35">
      <c r="A23" s="148"/>
      <c r="B23" s="150" t="s">
        <v>10</v>
      </c>
      <c r="C23" s="268"/>
      <c r="D23" s="28">
        <f t="shared" si="20"/>
        <v>0</v>
      </c>
      <c r="E23" s="28">
        <f t="shared" si="21"/>
        <v>0</v>
      </c>
      <c r="F23" s="29"/>
      <c r="G23" s="79"/>
      <c r="H23" s="28">
        <f t="shared" si="22"/>
        <v>0</v>
      </c>
      <c r="I23" s="28">
        <f t="shared" si="23"/>
        <v>0</v>
      </c>
      <c r="J23" s="29"/>
      <c r="K23" s="80"/>
      <c r="L23" s="28">
        <f t="shared" si="24"/>
        <v>0</v>
      </c>
      <c r="M23" s="28">
        <f t="shared" si="25"/>
        <v>0</v>
      </c>
      <c r="N23" s="29"/>
      <c r="O23" s="22">
        <f t="shared" si="19"/>
        <v>0</v>
      </c>
      <c r="P23" s="30">
        <f t="shared" si="26"/>
        <v>0</v>
      </c>
      <c r="Q23" s="30">
        <f t="shared" si="27"/>
        <v>0</v>
      </c>
      <c r="R23" s="31"/>
    </row>
    <row r="24" spans="1:18" ht="18.75" customHeight="1" x14ac:dyDescent="0.35">
      <c r="A24" s="145" t="s">
        <v>14</v>
      </c>
      <c r="B24" s="145" t="s">
        <v>8</v>
      </c>
      <c r="C24" s="140"/>
      <c r="D24" s="20">
        <f>ROUND(C24/18,2)</f>
        <v>0</v>
      </c>
      <c r="E24" s="20"/>
      <c r="F24" s="21">
        <f>SUM(D24,E25:E26)</f>
        <v>0</v>
      </c>
      <c r="G24" s="81"/>
      <c r="H24" s="20">
        <f>ROUND(G24/18,2)</f>
        <v>0</v>
      </c>
      <c r="I24" s="20"/>
      <c r="J24" s="21">
        <f>SUM(H24,I25:I26)</f>
        <v>0</v>
      </c>
      <c r="K24" s="82"/>
      <c r="L24" s="20">
        <f>ROUND(K24/18,2)</f>
        <v>0</v>
      </c>
      <c r="M24" s="20"/>
      <c r="N24" s="21">
        <f>SUM(L24,M25:M26)</f>
        <v>0</v>
      </c>
      <c r="O24" s="22">
        <f t="shared" si="19"/>
        <v>0</v>
      </c>
      <c r="P24" s="22">
        <f>ROUND(O24/36,2)</f>
        <v>0</v>
      </c>
      <c r="Q24" s="22"/>
      <c r="R24" s="23">
        <f>SUM(P24,Q25:Q26)</f>
        <v>0</v>
      </c>
    </row>
    <row r="25" spans="1:18" ht="18.75" customHeight="1" x14ac:dyDescent="0.35">
      <c r="A25" s="145"/>
      <c r="B25" s="145" t="s">
        <v>9</v>
      </c>
      <c r="C25" s="140"/>
      <c r="D25" s="20">
        <f t="shared" ref="D25:D26" si="28">ROUND(C25/12,2)</f>
        <v>0</v>
      </c>
      <c r="E25" s="28">
        <f t="shared" ref="E25:E26" si="29">D25*1</f>
        <v>0</v>
      </c>
      <c r="F25" s="21"/>
      <c r="G25" s="81"/>
      <c r="H25" s="20">
        <f t="shared" ref="H25:H26" si="30">ROUND(G25/12,2)</f>
        <v>0</v>
      </c>
      <c r="I25" s="28">
        <f t="shared" ref="I25:I26" si="31">H25*1</f>
        <v>0</v>
      </c>
      <c r="J25" s="21"/>
      <c r="K25" s="82"/>
      <c r="L25" s="20">
        <f t="shared" ref="L25:L26" si="32">ROUND(K25/12,2)</f>
        <v>0</v>
      </c>
      <c r="M25" s="28">
        <f t="shared" ref="M25:M26" si="33">L25*1</f>
        <v>0</v>
      </c>
      <c r="N25" s="21"/>
      <c r="O25" s="22">
        <f t="shared" si="19"/>
        <v>0</v>
      </c>
      <c r="P25" s="22">
        <f t="shared" ref="P25:P26" si="34">ROUND(O25/24,2)</f>
        <v>0</v>
      </c>
      <c r="Q25" s="22">
        <f t="shared" ref="Q25:Q26" si="35">P25*1</f>
        <v>0</v>
      </c>
      <c r="R25" s="23"/>
    </row>
    <row r="26" spans="1:18" ht="18.75" customHeight="1" x14ac:dyDescent="0.35">
      <c r="A26" s="145"/>
      <c r="B26" s="145" t="s">
        <v>10</v>
      </c>
      <c r="C26" s="140"/>
      <c r="D26" s="20">
        <f t="shared" si="28"/>
        <v>0</v>
      </c>
      <c r="E26" s="28">
        <f t="shared" si="29"/>
        <v>0</v>
      </c>
      <c r="F26" s="21"/>
      <c r="G26" s="81"/>
      <c r="H26" s="20">
        <f t="shared" si="30"/>
        <v>0</v>
      </c>
      <c r="I26" s="28">
        <f t="shared" si="31"/>
        <v>0</v>
      </c>
      <c r="J26" s="21"/>
      <c r="K26" s="82"/>
      <c r="L26" s="20">
        <f t="shared" si="32"/>
        <v>0</v>
      </c>
      <c r="M26" s="28">
        <f t="shared" si="33"/>
        <v>0</v>
      </c>
      <c r="N26" s="21"/>
      <c r="O26" s="22">
        <f t="shared" si="19"/>
        <v>0</v>
      </c>
      <c r="P26" s="22">
        <f t="shared" si="34"/>
        <v>0</v>
      </c>
      <c r="Q26" s="22">
        <f t="shared" si="35"/>
        <v>0</v>
      </c>
      <c r="R26" s="23"/>
    </row>
    <row r="27" spans="1:18" ht="18.75" customHeight="1" x14ac:dyDescent="0.35">
      <c r="A27" s="145" t="s">
        <v>15</v>
      </c>
      <c r="B27" s="145" t="s">
        <v>8</v>
      </c>
      <c r="C27" s="140"/>
      <c r="D27" s="20">
        <f>ROUND(C27/18,2)</f>
        <v>0</v>
      </c>
      <c r="E27" s="20"/>
      <c r="F27" s="21">
        <f>SUM(D27,E28:E29)</f>
        <v>0</v>
      </c>
      <c r="G27" s="81"/>
      <c r="H27" s="20">
        <f>ROUND(G27/18,2)</f>
        <v>0</v>
      </c>
      <c r="I27" s="20"/>
      <c r="J27" s="21">
        <f>SUM(H27,I28:I29)</f>
        <v>0</v>
      </c>
      <c r="K27" s="82"/>
      <c r="L27" s="20">
        <f>ROUND(K27/18,2)</f>
        <v>0</v>
      </c>
      <c r="M27" s="20"/>
      <c r="N27" s="21">
        <f>SUM(L27,M28:M29)</f>
        <v>0</v>
      </c>
      <c r="O27" s="22">
        <f t="shared" si="19"/>
        <v>0</v>
      </c>
      <c r="P27" s="22">
        <f>ROUND(O27/36,2)</f>
        <v>0</v>
      </c>
      <c r="Q27" s="22"/>
      <c r="R27" s="23">
        <f>SUM(P27,Q28:Q29)</f>
        <v>0</v>
      </c>
    </row>
    <row r="28" spans="1:18" ht="18.75" customHeight="1" x14ac:dyDescent="0.35">
      <c r="A28" s="145"/>
      <c r="B28" s="145" t="s">
        <v>9</v>
      </c>
      <c r="C28" s="140"/>
      <c r="D28" s="20">
        <f t="shared" ref="D28:D29" si="36">ROUND(C28/12,2)</f>
        <v>0</v>
      </c>
      <c r="E28" s="28">
        <f t="shared" ref="E28:E29" si="37">D28*1</f>
        <v>0</v>
      </c>
      <c r="F28" s="21"/>
      <c r="G28" s="81"/>
      <c r="H28" s="20">
        <f t="shared" ref="H28:H29" si="38">ROUND(G28/12,2)</f>
        <v>0</v>
      </c>
      <c r="I28" s="28">
        <f t="shared" ref="I28:I29" si="39">H28*1</f>
        <v>0</v>
      </c>
      <c r="J28" s="21"/>
      <c r="K28" s="82"/>
      <c r="L28" s="20">
        <f t="shared" ref="L28:L29" si="40">ROUND(K28/12,2)</f>
        <v>0</v>
      </c>
      <c r="M28" s="28">
        <f t="shared" ref="M28:M29" si="41">L28*1</f>
        <v>0</v>
      </c>
      <c r="N28" s="21"/>
      <c r="O28" s="22">
        <f t="shared" si="19"/>
        <v>0</v>
      </c>
      <c r="P28" s="22">
        <f t="shared" ref="P28:P29" si="42">ROUND(O28/24,2)</f>
        <v>0</v>
      </c>
      <c r="Q28" s="22">
        <f t="shared" ref="Q28:Q29" si="43">P28*1</f>
        <v>0</v>
      </c>
      <c r="R28" s="23"/>
    </row>
    <row r="29" spans="1:18" ht="18.75" customHeight="1" x14ac:dyDescent="0.35">
      <c r="A29" s="145"/>
      <c r="B29" s="145" t="s">
        <v>10</v>
      </c>
      <c r="C29" s="140"/>
      <c r="D29" s="20">
        <f t="shared" si="36"/>
        <v>0</v>
      </c>
      <c r="E29" s="28">
        <f t="shared" si="37"/>
        <v>0</v>
      </c>
      <c r="F29" s="21"/>
      <c r="G29" s="81"/>
      <c r="H29" s="20">
        <f t="shared" si="38"/>
        <v>0</v>
      </c>
      <c r="I29" s="28">
        <f t="shared" si="39"/>
        <v>0</v>
      </c>
      <c r="J29" s="21"/>
      <c r="K29" s="82"/>
      <c r="L29" s="20">
        <f t="shared" si="40"/>
        <v>0</v>
      </c>
      <c r="M29" s="28">
        <f t="shared" si="41"/>
        <v>0</v>
      </c>
      <c r="N29" s="21"/>
      <c r="O29" s="22">
        <f t="shared" si="19"/>
        <v>0</v>
      </c>
      <c r="P29" s="22">
        <f t="shared" si="42"/>
        <v>0</v>
      </c>
      <c r="Q29" s="22">
        <f t="shared" si="43"/>
        <v>0</v>
      </c>
      <c r="R29" s="23"/>
    </row>
    <row r="30" spans="1:18" ht="18.75" customHeight="1" x14ac:dyDescent="0.35">
      <c r="A30" s="145" t="s">
        <v>16</v>
      </c>
      <c r="B30" s="145" t="s">
        <v>8</v>
      </c>
      <c r="C30" s="140"/>
      <c r="D30" s="20">
        <f>ROUND(C30/18,2)</f>
        <v>0</v>
      </c>
      <c r="E30" s="20"/>
      <c r="F30" s="21">
        <f>SUM(D30,E31:E32)</f>
        <v>0</v>
      </c>
      <c r="G30" s="81"/>
      <c r="H30" s="20">
        <f>ROUND(G30/18,2)</f>
        <v>0</v>
      </c>
      <c r="I30" s="20"/>
      <c r="J30" s="21">
        <f>SUM(H30,I31:I32)</f>
        <v>0</v>
      </c>
      <c r="K30" s="82"/>
      <c r="L30" s="20">
        <f>ROUND(K30/18,2)</f>
        <v>0</v>
      </c>
      <c r="M30" s="20"/>
      <c r="N30" s="21">
        <f>SUM(L30,M31:M32)</f>
        <v>0</v>
      </c>
      <c r="O30" s="22">
        <f t="shared" si="19"/>
        <v>0</v>
      </c>
      <c r="P30" s="22">
        <f>ROUND(O30/36,2)</f>
        <v>0</v>
      </c>
      <c r="Q30" s="22"/>
      <c r="R30" s="23">
        <f>SUM(P30,Q31:Q32)</f>
        <v>0</v>
      </c>
    </row>
    <row r="31" spans="1:18" ht="18.75" customHeight="1" x14ac:dyDescent="0.35">
      <c r="A31" s="145"/>
      <c r="B31" s="145" t="s">
        <v>9</v>
      </c>
      <c r="C31" s="140"/>
      <c r="D31" s="20">
        <f t="shared" ref="D31:D32" si="44">ROUND(C31/12,2)</f>
        <v>0</v>
      </c>
      <c r="E31" s="28">
        <f t="shared" ref="E31:E32" si="45">D31*1</f>
        <v>0</v>
      </c>
      <c r="F31" s="21"/>
      <c r="G31" s="81"/>
      <c r="H31" s="20">
        <f t="shared" ref="H31:H32" si="46">ROUND(G31/12,2)</f>
        <v>0</v>
      </c>
      <c r="I31" s="28">
        <f t="shared" ref="I31:I32" si="47">H31*1</f>
        <v>0</v>
      </c>
      <c r="J31" s="21"/>
      <c r="K31" s="82"/>
      <c r="L31" s="20">
        <f t="shared" ref="L31:L32" si="48">ROUND(K31/12,2)</f>
        <v>0</v>
      </c>
      <c r="M31" s="28">
        <f t="shared" ref="M31:M32" si="49">L31*1</f>
        <v>0</v>
      </c>
      <c r="N31" s="21"/>
      <c r="O31" s="22">
        <f t="shared" si="19"/>
        <v>0</v>
      </c>
      <c r="P31" s="22">
        <f t="shared" ref="P31:P32" si="50">ROUND(O31/24,2)</f>
        <v>0</v>
      </c>
      <c r="Q31" s="22">
        <f t="shared" ref="Q31:Q32" si="51">P31*1</f>
        <v>0</v>
      </c>
      <c r="R31" s="23"/>
    </row>
    <row r="32" spans="1:18" ht="18.75" customHeight="1" x14ac:dyDescent="0.35">
      <c r="A32" s="145"/>
      <c r="B32" s="145" t="s">
        <v>10</v>
      </c>
      <c r="C32" s="140"/>
      <c r="D32" s="20">
        <f t="shared" si="44"/>
        <v>0</v>
      </c>
      <c r="E32" s="28">
        <f t="shared" si="45"/>
        <v>0</v>
      </c>
      <c r="F32" s="21"/>
      <c r="G32" s="81"/>
      <c r="H32" s="20">
        <f t="shared" si="46"/>
        <v>0</v>
      </c>
      <c r="I32" s="28">
        <f t="shared" si="47"/>
        <v>0</v>
      </c>
      <c r="J32" s="21"/>
      <c r="K32" s="82"/>
      <c r="L32" s="20">
        <f t="shared" si="48"/>
        <v>0</v>
      </c>
      <c r="M32" s="28">
        <f t="shared" si="49"/>
        <v>0</v>
      </c>
      <c r="N32" s="21"/>
      <c r="O32" s="22">
        <f t="shared" si="19"/>
        <v>0</v>
      </c>
      <c r="P32" s="22">
        <f t="shared" si="50"/>
        <v>0</v>
      </c>
      <c r="Q32" s="22">
        <f t="shared" si="51"/>
        <v>0</v>
      </c>
      <c r="R32" s="23"/>
    </row>
    <row r="33" spans="1:18" ht="18.75" customHeight="1" x14ac:dyDescent="0.35">
      <c r="A33" s="145" t="s">
        <v>17</v>
      </c>
      <c r="B33" s="145" t="s">
        <v>8</v>
      </c>
      <c r="C33" s="140"/>
      <c r="D33" s="20">
        <f>ROUND(C33/18,2)</f>
        <v>0</v>
      </c>
      <c r="E33" s="20"/>
      <c r="F33" s="21">
        <f>SUM(D33,E34:E35)</f>
        <v>0</v>
      </c>
      <c r="G33" s="81"/>
      <c r="H33" s="20">
        <f>ROUND(G33/18,2)</f>
        <v>0</v>
      </c>
      <c r="I33" s="20"/>
      <c r="J33" s="21">
        <f>SUM(H33,I34:I35)</f>
        <v>0</v>
      </c>
      <c r="K33" s="82"/>
      <c r="L33" s="20">
        <f>ROUND(K33/18,2)</f>
        <v>0</v>
      </c>
      <c r="M33" s="20"/>
      <c r="N33" s="21">
        <f>SUM(L33,M34:M35)</f>
        <v>0</v>
      </c>
      <c r="O33" s="22">
        <f t="shared" si="19"/>
        <v>0</v>
      </c>
      <c r="P33" s="22">
        <f>ROUND(O33/36,2)</f>
        <v>0</v>
      </c>
      <c r="Q33" s="22"/>
      <c r="R33" s="23">
        <f>SUM(P33,Q34:Q35)</f>
        <v>0</v>
      </c>
    </row>
    <row r="34" spans="1:18" ht="18.75" customHeight="1" x14ac:dyDescent="0.35">
      <c r="A34" s="145"/>
      <c r="B34" s="145" t="s">
        <v>9</v>
      </c>
      <c r="C34" s="140"/>
      <c r="D34" s="20">
        <f t="shared" ref="D34:D35" si="52">ROUND(C34/12,2)</f>
        <v>0</v>
      </c>
      <c r="E34" s="28">
        <f t="shared" ref="E34:E35" si="53">D34*1</f>
        <v>0</v>
      </c>
      <c r="F34" s="21"/>
      <c r="G34" s="81"/>
      <c r="H34" s="20">
        <f t="shared" ref="H34:H35" si="54">ROUND(G34/12,2)</f>
        <v>0</v>
      </c>
      <c r="I34" s="28">
        <f t="shared" ref="I34:I35" si="55">H34*1</f>
        <v>0</v>
      </c>
      <c r="J34" s="21"/>
      <c r="K34" s="82"/>
      <c r="L34" s="20">
        <f t="shared" ref="L34:L35" si="56">ROUND(K34/12,2)</f>
        <v>0</v>
      </c>
      <c r="M34" s="28">
        <f t="shared" ref="M34:M35" si="57">L34*1</f>
        <v>0</v>
      </c>
      <c r="N34" s="21"/>
      <c r="O34" s="22">
        <f t="shared" si="19"/>
        <v>0</v>
      </c>
      <c r="P34" s="22">
        <f t="shared" ref="P34:P35" si="58">ROUND(O34/24,2)</f>
        <v>0</v>
      </c>
      <c r="Q34" s="22">
        <f t="shared" ref="Q34:Q35" si="59">P34*1</f>
        <v>0</v>
      </c>
      <c r="R34" s="23"/>
    </row>
    <row r="35" spans="1:18" ht="18.75" customHeight="1" x14ac:dyDescent="0.35">
      <c r="A35" s="145"/>
      <c r="B35" s="145" t="s">
        <v>10</v>
      </c>
      <c r="C35" s="140"/>
      <c r="D35" s="20">
        <f t="shared" si="52"/>
        <v>0</v>
      </c>
      <c r="E35" s="28">
        <f t="shared" si="53"/>
        <v>0</v>
      </c>
      <c r="F35" s="21"/>
      <c r="G35" s="81"/>
      <c r="H35" s="20">
        <f t="shared" si="54"/>
        <v>0</v>
      </c>
      <c r="I35" s="28">
        <f t="shared" si="55"/>
        <v>0</v>
      </c>
      <c r="J35" s="21"/>
      <c r="K35" s="82"/>
      <c r="L35" s="20">
        <f t="shared" si="56"/>
        <v>0</v>
      </c>
      <c r="M35" s="28">
        <f t="shared" si="57"/>
        <v>0</v>
      </c>
      <c r="N35" s="21"/>
      <c r="O35" s="22">
        <f t="shared" si="19"/>
        <v>0</v>
      </c>
      <c r="P35" s="22">
        <f t="shared" si="58"/>
        <v>0</v>
      </c>
      <c r="Q35" s="22">
        <f t="shared" si="59"/>
        <v>0</v>
      </c>
      <c r="R35" s="23"/>
    </row>
    <row r="36" spans="1:18" ht="18.75" customHeight="1" x14ac:dyDescent="0.35">
      <c r="A36" s="145" t="s">
        <v>18</v>
      </c>
      <c r="B36" s="145" t="s">
        <v>8</v>
      </c>
      <c r="C36" s="140"/>
      <c r="D36" s="20">
        <f>ROUND(C36/18,2)</f>
        <v>0</v>
      </c>
      <c r="E36" s="20"/>
      <c r="F36" s="21">
        <f>SUM(D36,E37:E38)</f>
        <v>0</v>
      </c>
      <c r="G36" s="81"/>
      <c r="H36" s="20">
        <f>ROUND(G36/18,2)</f>
        <v>0</v>
      </c>
      <c r="I36" s="20"/>
      <c r="J36" s="21">
        <f>SUM(H36,I37:I38)</f>
        <v>0</v>
      </c>
      <c r="K36" s="82"/>
      <c r="L36" s="20">
        <f>ROUND(K36/18,2)</f>
        <v>0</v>
      </c>
      <c r="M36" s="20"/>
      <c r="N36" s="21">
        <f>SUM(L36,M37:M38)</f>
        <v>0</v>
      </c>
      <c r="O36" s="22">
        <f t="shared" si="19"/>
        <v>0</v>
      </c>
      <c r="P36" s="22">
        <f>ROUND(O36/36,2)</f>
        <v>0</v>
      </c>
      <c r="Q36" s="22"/>
      <c r="R36" s="23">
        <f>SUM(P36,Q37:Q38)</f>
        <v>0</v>
      </c>
    </row>
    <row r="37" spans="1:18" ht="18.75" customHeight="1" x14ac:dyDescent="0.35">
      <c r="A37" s="145"/>
      <c r="B37" s="145" t="s">
        <v>9</v>
      </c>
      <c r="C37" s="140"/>
      <c r="D37" s="20">
        <f t="shared" ref="D37:D38" si="60">ROUND(C37/12,2)</f>
        <v>0</v>
      </c>
      <c r="E37" s="28">
        <f t="shared" ref="E37:E38" si="61">D37*1</f>
        <v>0</v>
      </c>
      <c r="F37" s="21"/>
      <c r="G37" s="81"/>
      <c r="H37" s="20">
        <f t="shared" ref="H37:H38" si="62">ROUND(G37/12,2)</f>
        <v>0</v>
      </c>
      <c r="I37" s="28">
        <f t="shared" ref="I37:I38" si="63">H37*1</f>
        <v>0</v>
      </c>
      <c r="J37" s="21"/>
      <c r="K37" s="82"/>
      <c r="L37" s="20">
        <f t="shared" ref="L37:L38" si="64">ROUND(K37/12,2)</f>
        <v>0</v>
      </c>
      <c r="M37" s="28">
        <f t="shared" ref="M37:M38" si="65">L37*1</f>
        <v>0</v>
      </c>
      <c r="N37" s="21"/>
      <c r="O37" s="22">
        <f t="shared" si="19"/>
        <v>0</v>
      </c>
      <c r="P37" s="22">
        <f t="shared" ref="P37:P38" si="66">ROUND(O37/24,2)</f>
        <v>0</v>
      </c>
      <c r="Q37" s="22">
        <f t="shared" ref="Q37:Q38" si="67">P37*1</f>
        <v>0</v>
      </c>
      <c r="R37" s="23"/>
    </row>
    <row r="38" spans="1:18" ht="18.75" customHeight="1" x14ac:dyDescent="0.35">
      <c r="A38" s="145"/>
      <c r="B38" s="145" t="s">
        <v>10</v>
      </c>
      <c r="C38" s="140"/>
      <c r="D38" s="20">
        <f t="shared" si="60"/>
        <v>0</v>
      </c>
      <c r="E38" s="28">
        <f t="shared" si="61"/>
        <v>0</v>
      </c>
      <c r="F38" s="21"/>
      <c r="G38" s="81"/>
      <c r="H38" s="20">
        <f t="shared" si="62"/>
        <v>0</v>
      </c>
      <c r="I38" s="28">
        <f t="shared" si="63"/>
        <v>0</v>
      </c>
      <c r="J38" s="21"/>
      <c r="K38" s="82"/>
      <c r="L38" s="20">
        <f t="shared" si="64"/>
        <v>0</v>
      </c>
      <c r="M38" s="28">
        <f t="shared" si="65"/>
        <v>0</v>
      </c>
      <c r="N38" s="21"/>
      <c r="O38" s="22">
        <f t="shared" si="19"/>
        <v>0</v>
      </c>
      <c r="P38" s="22">
        <f t="shared" si="66"/>
        <v>0</v>
      </c>
      <c r="Q38" s="22">
        <f t="shared" si="67"/>
        <v>0</v>
      </c>
      <c r="R38" s="23"/>
    </row>
    <row r="39" spans="1:18" ht="18.75" customHeight="1" x14ac:dyDescent="0.35">
      <c r="A39" s="145" t="s">
        <v>19</v>
      </c>
      <c r="B39" s="145" t="s">
        <v>8</v>
      </c>
      <c r="C39" s="140"/>
      <c r="D39" s="20">
        <f>ROUND(C39/18,2)</f>
        <v>0</v>
      </c>
      <c r="E39" s="20"/>
      <c r="F39" s="21">
        <f>SUM(D39,E40:E41)</f>
        <v>0</v>
      </c>
      <c r="G39" s="81"/>
      <c r="H39" s="20">
        <f>ROUND(G39/18,2)</f>
        <v>0</v>
      </c>
      <c r="I39" s="20"/>
      <c r="J39" s="21">
        <f>SUM(H39,I40:I41)</f>
        <v>0</v>
      </c>
      <c r="K39" s="82"/>
      <c r="L39" s="20">
        <f>ROUND(K39/18,2)</f>
        <v>0</v>
      </c>
      <c r="M39" s="20"/>
      <c r="N39" s="21">
        <f>SUM(L39,M40:M41)</f>
        <v>0</v>
      </c>
      <c r="O39" s="22">
        <f t="shared" si="19"/>
        <v>0</v>
      </c>
      <c r="P39" s="22">
        <f>ROUND(O39/36,2)</f>
        <v>0</v>
      </c>
      <c r="Q39" s="22"/>
      <c r="R39" s="23">
        <f>SUM(P39,Q40:Q41)</f>
        <v>0</v>
      </c>
    </row>
    <row r="40" spans="1:18" ht="18.75" customHeight="1" x14ac:dyDescent="0.35">
      <c r="A40" s="145"/>
      <c r="B40" s="145" t="s">
        <v>9</v>
      </c>
      <c r="C40" s="140"/>
      <c r="D40" s="20">
        <f t="shared" ref="D40:D41" si="68">ROUND(C40/12,2)</f>
        <v>0</v>
      </c>
      <c r="E40" s="28">
        <f t="shared" ref="E40:E41" si="69">D40*1</f>
        <v>0</v>
      </c>
      <c r="F40" s="21"/>
      <c r="G40" s="81"/>
      <c r="H40" s="20">
        <f t="shared" ref="H40:H41" si="70">ROUND(G40/12,2)</f>
        <v>0</v>
      </c>
      <c r="I40" s="28">
        <f t="shared" ref="I40:I41" si="71">H40*1</f>
        <v>0</v>
      </c>
      <c r="J40" s="21"/>
      <c r="K40" s="82"/>
      <c r="L40" s="20">
        <f t="shared" ref="L40:L41" si="72">ROUND(K40/12,2)</f>
        <v>0</v>
      </c>
      <c r="M40" s="28">
        <f t="shared" ref="M40:M41" si="73">L40*1</f>
        <v>0</v>
      </c>
      <c r="N40" s="21"/>
      <c r="O40" s="22">
        <f t="shared" si="19"/>
        <v>0</v>
      </c>
      <c r="P40" s="22">
        <f t="shared" ref="P40:P41" si="74">ROUND(O40/24,2)</f>
        <v>0</v>
      </c>
      <c r="Q40" s="22">
        <f t="shared" ref="Q40:Q41" si="75">P40*1</f>
        <v>0</v>
      </c>
      <c r="R40" s="23"/>
    </row>
    <row r="41" spans="1:18" ht="18.75" customHeight="1" x14ac:dyDescent="0.35">
      <c r="A41" s="145"/>
      <c r="B41" s="145" t="s">
        <v>10</v>
      </c>
      <c r="C41" s="140"/>
      <c r="D41" s="20">
        <f t="shared" si="68"/>
        <v>0</v>
      </c>
      <c r="E41" s="28">
        <f t="shared" si="69"/>
        <v>0</v>
      </c>
      <c r="F41" s="21"/>
      <c r="G41" s="81"/>
      <c r="H41" s="20">
        <f t="shared" si="70"/>
        <v>0</v>
      </c>
      <c r="I41" s="28">
        <f t="shared" si="71"/>
        <v>0</v>
      </c>
      <c r="J41" s="21"/>
      <c r="K41" s="82"/>
      <c r="L41" s="20">
        <f t="shared" si="72"/>
        <v>0</v>
      </c>
      <c r="M41" s="28">
        <f t="shared" si="73"/>
        <v>0</v>
      </c>
      <c r="N41" s="21"/>
      <c r="O41" s="22">
        <f t="shared" si="19"/>
        <v>0</v>
      </c>
      <c r="P41" s="22">
        <f t="shared" si="74"/>
        <v>0</v>
      </c>
      <c r="Q41" s="22">
        <f t="shared" si="75"/>
        <v>0</v>
      </c>
      <c r="R41" s="23"/>
    </row>
    <row r="42" spans="1:18" ht="18.75" customHeight="1" x14ac:dyDescent="0.35">
      <c r="A42" s="145" t="s">
        <v>20</v>
      </c>
      <c r="B42" s="145" t="s">
        <v>8</v>
      </c>
      <c r="C42" s="140"/>
      <c r="D42" s="20">
        <f>ROUND(C42/18,2)</f>
        <v>0</v>
      </c>
      <c r="E42" s="20"/>
      <c r="F42" s="21">
        <f>SUM(D42,E43:E44)</f>
        <v>0</v>
      </c>
      <c r="G42" s="81"/>
      <c r="H42" s="20">
        <f>ROUND(G42/18,2)</f>
        <v>0</v>
      </c>
      <c r="I42" s="20"/>
      <c r="J42" s="21">
        <f>SUM(H42,I43:I44)</f>
        <v>0</v>
      </c>
      <c r="K42" s="82"/>
      <c r="L42" s="20">
        <f>ROUND(K42/18,2)</f>
        <v>0</v>
      </c>
      <c r="M42" s="20"/>
      <c r="N42" s="21">
        <f>SUM(L42,M43:M44)</f>
        <v>0</v>
      </c>
      <c r="O42" s="22">
        <f t="shared" si="19"/>
        <v>0</v>
      </c>
      <c r="P42" s="22">
        <f>ROUND(O42/36,2)</f>
        <v>0</v>
      </c>
      <c r="Q42" s="22"/>
      <c r="R42" s="23">
        <f>SUM(P42,Q43:Q44)</f>
        <v>0</v>
      </c>
    </row>
    <row r="43" spans="1:18" ht="18.75" customHeight="1" x14ac:dyDescent="0.35">
      <c r="A43" s="145"/>
      <c r="B43" s="145" t="s">
        <v>9</v>
      </c>
      <c r="C43" s="140"/>
      <c r="D43" s="20">
        <f t="shared" ref="D43:D44" si="76">ROUND(C43/12,2)</f>
        <v>0</v>
      </c>
      <c r="E43" s="28">
        <f t="shared" ref="E43:E44" si="77">D43*1</f>
        <v>0</v>
      </c>
      <c r="F43" s="21"/>
      <c r="G43" s="81"/>
      <c r="H43" s="20">
        <f t="shared" ref="H43:H44" si="78">ROUND(G43/12,2)</f>
        <v>0</v>
      </c>
      <c r="I43" s="28">
        <f t="shared" ref="I43:I44" si="79">H43*1</f>
        <v>0</v>
      </c>
      <c r="J43" s="21"/>
      <c r="K43" s="82"/>
      <c r="L43" s="20">
        <f t="shared" ref="L43:L44" si="80">ROUND(K43/12,2)</f>
        <v>0</v>
      </c>
      <c r="M43" s="28">
        <f t="shared" ref="M43:M44" si="81">L43*1</f>
        <v>0</v>
      </c>
      <c r="N43" s="21"/>
      <c r="O43" s="22">
        <f t="shared" si="19"/>
        <v>0</v>
      </c>
      <c r="P43" s="22">
        <f t="shared" ref="P43:P44" si="82">ROUND(O43/24,2)</f>
        <v>0</v>
      </c>
      <c r="Q43" s="22">
        <f t="shared" ref="Q43:Q44" si="83">P43*1</f>
        <v>0</v>
      </c>
      <c r="R43" s="23"/>
    </row>
    <row r="44" spans="1:18" ht="18.75" customHeight="1" x14ac:dyDescent="0.35">
      <c r="A44" s="145"/>
      <c r="B44" s="145" t="s">
        <v>10</v>
      </c>
      <c r="C44" s="140"/>
      <c r="D44" s="20">
        <f t="shared" si="76"/>
        <v>0</v>
      </c>
      <c r="E44" s="28">
        <f t="shared" si="77"/>
        <v>0</v>
      </c>
      <c r="F44" s="21"/>
      <c r="G44" s="81"/>
      <c r="H44" s="20">
        <f t="shared" si="78"/>
        <v>0</v>
      </c>
      <c r="I44" s="28">
        <f t="shared" si="79"/>
        <v>0</v>
      </c>
      <c r="J44" s="21"/>
      <c r="K44" s="82"/>
      <c r="L44" s="20">
        <f t="shared" si="80"/>
        <v>0</v>
      </c>
      <c r="M44" s="28">
        <f t="shared" si="81"/>
        <v>0</v>
      </c>
      <c r="N44" s="21"/>
      <c r="O44" s="22">
        <f t="shared" si="19"/>
        <v>0</v>
      </c>
      <c r="P44" s="22">
        <f t="shared" si="82"/>
        <v>0</v>
      </c>
      <c r="Q44" s="22">
        <f t="shared" si="83"/>
        <v>0</v>
      </c>
      <c r="R44" s="23"/>
    </row>
    <row r="45" spans="1:18" ht="18.75" customHeight="1" x14ac:dyDescent="0.35">
      <c r="A45" s="145" t="s">
        <v>21</v>
      </c>
      <c r="B45" s="145" t="s">
        <v>8</v>
      </c>
      <c r="C45" s="140"/>
      <c r="D45" s="20">
        <f>ROUND(C45/18,2)</f>
        <v>0</v>
      </c>
      <c r="E45" s="20"/>
      <c r="F45" s="21">
        <f>SUM(D45,E46:E47)</f>
        <v>0</v>
      </c>
      <c r="G45" s="81"/>
      <c r="H45" s="20">
        <f>ROUND(G45/18,2)</f>
        <v>0</v>
      </c>
      <c r="I45" s="20"/>
      <c r="J45" s="21">
        <f>SUM(H45,I46:I47)</f>
        <v>0</v>
      </c>
      <c r="K45" s="82"/>
      <c r="L45" s="20">
        <f>ROUND(K45/18,2)</f>
        <v>0</v>
      </c>
      <c r="M45" s="20"/>
      <c r="N45" s="21">
        <f>SUM(L45,M46:M47)</f>
        <v>0</v>
      </c>
      <c r="O45" s="22">
        <f t="shared" si="19"/>
        <v>0</v>
      </c>
      <c r="P45" s="22">
        <f>ROUND(O45/36,2)</f>
        <v>0</v>
      </c>
      <c r="Q45" s="22"/>
      <c r="R45" s="23">
        <f>SUM(P45,Q46:Q47)</f>
        <v>0</v>
      </c>
    </row>
    <row r="46" spans="1:18" ht="18.75" customHeight="1" x14ac:dyDescent="0.35">
      <c r="A46" s="145"/>
      <c r="B46" s="145" t="s">
        <v>9</v>
      </c>
      <c r="C46" s="140"/>
      <c r="D46" s="20">
        <f t="shared" ref="D46:D47" si="84">ROUND(C46/12,2)</f>
        <v>0</v>
      </c>
      <c r="E46" s="28">
        <f t="shared" ref="E46:E47" si="85">D46*1</f>
        <v>0</v>
      </c>
      <c r="F46" s="21"/>
      <c r="G46" s="81"/>
      <c r="H46" s="20">
        <f t="shared" ref="H46:H47" si="86">ROUND(G46/12,2)</f>
        <v>0</v>
      </c>
      <c r="I46" s="28">
        <f t="shared" ref="I46:I47" si="87">H46*1</f>
        <v>0</v>
      </c>
      <c r="J46" s="21"/>
      <c r="K46" s="82"/>
      <c r="L46" s="20">
        <f t="shared" ref="L46:L47" si="88">ROUND(K46/12,2)</f>
        <v>0</v>
      </c>
      <c r="M46" s="28">
        <f t="shared" ref="M46:M47" si="89">L46*1</f>
        <v>0</v>
      </c>
      <c r="N46" s="21"/>
      <c r="O46" s="22">
        <f t="shared" si="19"/>
        <v>0</v>
      </c>
      <c r="P46" s="22">
        <f t="shared" ref="P46:P47" si="90">ROUND(O46/24,2)</f>
        <v>0</v>
      </c>
      <c r="Q46" s="22">
        <f t="shared" ref="Q46:Q47" si="91">P46*1</f>
        <v>0</v>
      </c>
      <c r="R46" s="23"/>
    </row>
    <row r="47" spans="1:18" ht="18.75" customHeight="1" x14ac:dyDescent="0.35">
      <c r="A47" s="145"/>
      <c r="B47" s="145" t="s">
        <v>10</v>
      </c>
      <c r="C47" s="140"/>
      <c r="D47" s="20">
        <f t="shared" si="84"/>
        <v>0</v>
      </c>
      <c r="E47" s="28">
        <f t="shared" si="85"/>
        <v>0</v>
      </c>
      <c r="F47" s="21"/>
      <c r="G47" s="81"/>
      <c r="H47" s="20">
        <f t="shared" si="86"/>
        <v>0</v>
      </c>
      <c r="I47" s="28">
        <f t="shared" si="87"/>
        <v>0</v>
      </c>
      <c r="J47" s="21"/>
      <c r="K47" s="82"/>
      <c r="L47" s="20">
        <f t="shared" si="88"/>
        <v>0</v>
      </c>
      <c r="M47" s="28">
        <f t="shared" si="89"/>
        <v>0</v>
      </c>
      <c r="N47" s="21"/>
      <c r="O47" s="22">
        <f t="shared" si="19"/>
        <v>0</v>
      </c>
      <c r="P47" s="22">
        <f t="shared" si="90"/>
        <v>0</v>
      </c>
      <c r="Q47" s="22">
        <f t="shared" si="91"/>
        <v>0</v>
      </c>
      <c r="R47" s="23"/>
    </row>
    <row r="48" spans="1:18" ht="18.75" customHeight="1" x14ac:dyDescent="0.35">
      <c r="A48" s="173" t="s">
        <v>22</v>
      </c>
      <c r="B48" s="151" t="s">
        <v>8</v>
      </c>
      <c r="C48" s="93">
        <f>SUMIF($B$20:$B$47,"ปริญญาตรี",C20:C47)</f>
        <v>448.51400000000001</v>
      </c>
      <c r="D48" s="32">
        <f>ROUND(C48/18,2)</f>
        <v>24.92</v>
      </c>
      <c r="E48" s="32"/>
      <c r="F48" s="33">
        <f>SUM(D48,E49:E50)</f>
        <v>24.92</v>
      </c>
      <c r="G48" s="93">
        <f>SUMIF($B$20:$B$47,"ปริญญาตรี",G20:G47)</f>
        <v>38</v>
      </c>
      <c r="H48" s="32">
        <f>ROUND(G48/18,2)</f>
        <v>2.11</v>
      </c>
      <c r="I48" s="32"/>
      <c r="J48" s="33">
        <f>SUM(H48,I49:I50)</f>
        <v>2.11</v>
      </c>
      <c r="K48" s="93">
        <f>SUMIF($B$20:$B$47,"ปริญญาตรี",K20:K47)</f>
        <v>0</v>
      </c>
      <c r="L48" s="32">
        <f>ROUND(K48/18,2)</f>
        <v>0</v>
      </c>
      <c r="M48" s="32"/>
      <c r="N48" s="33">
        <f>SUM(L48,M49:M50)</f>
        <v>0</v>
      </c>
      <c r="O48" s="136">
        <f t="shared" si="19"/>
        <v>486.51400000000001</v>
      </c>
      <c r="P48" s="34">
        <f>ROUND(O48/36,2)</f>
        <v>13.51</v>
      </c>
      <c r="Q48" s="34"/>
      <c r="R48" s="23">
        <f>SUM(P48,Q49:Q50)</f>
        <v>13.51</v>
      </c>
    </row>
    <row r="49" spans="1:18" ht="18.75" customHeight="1" x14ac:dyDescent="0.35">
      <c r="A49" s="174" t="s">
        <v>22</v>
      </c>
      <c r="B49" s="151" t="s">
        <v>9</v>
      </c>
      <c r="C49" s="93">
        <f>SUMIF($B$20:$B$47,"ปริญญาโท",C20:C47)</f>
        <v>0</v>
      </c>
      <c r="D49" s="32">
        <f t="shared" ref="D49:D50" si="92">ROUND(C49/12,2)</f>
        <v>0</v>
      </c>
      <c r="E49" s="32">
        <f t="shared" ref="E49:E50" si="93">D49*1</f>
        <v>0</v>
      </c>
      <c r="F49" s="33"/>
      <c r="G49" s="93">
        <f>SUMIF($B$20:$B$47,"ปริญญาโท",G20:G47)</f>
        <v>0</v>
      </c>
      <c r="H49" s="32">
        <f t="shared" ref="H49:H50" si="94">ROUND(G49/12,2)</f>
        <v>0</v>
      </c>
      <c r="I49" s="32">
        <f t="shared" ref="I49:I50" si="95">H49*1</f>
        <v>0</v>
      </c>
      <c r="J49" s="33"/>
      <c r="K49" s="93">
        <f>SUMIF($B$20:$B$47,"ปริญญาโท",K20:K47)</f>
        <v>0</v>
      </c>
      <c r="L49" s="32">
        <f t="shared" ref="L49:L50" si="96">ROUND(K49/12,2)</f>
        <v>0</v>
      </c>
      <c r="M49" s="32">
        <f t="shared" ref="M49:M50" si="97">L49*1</f>
        <v>0</v>
      </c>
      <c r="N49" s="33"/>
      <c r="O49" s="22">
        <f t="shared" si="19"/>
        <v>0</v>
      </c>
      <c r="P49" s="34">
        <f t="shared" ref="P49:P50" si="98">ROUND(O49/24,2)</f>
        <v>0</v>
      </c>
      <c r="Q49" s="34">
        <f t="shared" ref="Q49:Q50" si="99">P49*1</f>
        <v>0</v>
      </c>
      <c r="R49" s="23"/>
    </row>
    <row r="50" spans="1:18" ht="18.75" customHeight="1" thickBot="1" x14ac:dyDescent="0.4">
      <c r="A50" s="175" t="s">
        <v>22</v>
      </c>
      <c r="B50" s="152" t="s">
        <v>10</v>
      </c>
      <c r="C50" s="94">
        <f>SUMIF($B$20:$B$47,"ปริญญาเอก",C20:C47)</f>
        <v>0</v>
      </c>
      <c r="D50" s="35">
        <f t="shared" si="92"/>
        <v>0</v>
      </c>
      <c r="E50" s="35">
        <f t="shared" si="93"/>
        <v>0</v>
      </c>
      <c r="F50" s="36"/>
      <c r="G50" s="94">
        <f>SUMIF($B$20:$B$47,"ปริญญาเอก",G20:G47)</f>
        <v>0</v>
      </c>
      <c r="H50" s="35">
        <f t="shared" si="94"/>
        <v>0</v>
      </c>
      <c r="I50" s="35">
        <f t="shared" si="95"/>
        <v>0</v>
      </c>
      <c r="J50" s="36"/>
      <c r="K50" s="94">
        <f>SUMIF($B$20:$B$47,"ปริญญาเอก",K20:K47)</f>
        <v>0</v>
      </c>
      <c r="L50" s="35">
        <f t="shared" si="96"/>
        <v>0</v>
      </c>
      <c r="M50" s="35">
        <f t="shared" si="97"/>
        <v>0</v>
      </c>
      <c r="N50" s="36"/>
      <c r="O50" s="92">
        <f t="shared" si="19"/>
        <v>0</v>
      </c>
      <c r="P50" s="37">
        <f t="shared" si="98"/>
        <v>0</v>
      </c>
      <c r="Q50" s="37">
        <f t="shared" si="99"/>
        <v>0</v>
      </c>
      <c r="R50" s="27"/>
    </row>
    <row r="51" spans="1:18" ht="18.75" customHeight="1" x14ac:dyDescent="0.35">
      <c r="A51" s="148" t="s">
        <v>23</v>
      </c>
      <c r="B51" s="149"/>
      <c r="C51" s="80"/>
      <c r="D51" s="28"/>
      <c r="E51" s="28"/>
      <c r="F51" s="29"/>
      <c r="G51" s="79"/>
      <c r="H51" s="28"/>
      <c r="I51" s="28"/>
      <c r="J51" s="29"/>
      <c r="K51" s="80"/>
      <c r="L51" s="28"/>
      <c r="M51" s="28"/>
      <c r="N51" s="29"/>
      <c r="O51" s="66"/>
      <c r="P51" s="30"/>
      <c r="Q51" s="30"/>
      <c r="R51" s="31"/>
    </row>
    <row r="52" spans="1:18" ht="18.75" customHeight="1" x14ac:dyDescent="0.35">
      <c r="A52" s="145" t="s">
        <v>7</v>
      </c>
      <c r="B52" s="145" t="s">
        <v>8</v>
      </c>
      <c r="C52" s="140"/>
      <c r="D52" s="20">
        <f>ROUND(C52/18,2)</f>
        <v>0</v>
      </c>
      <c r="E52" s="20"/>
      <c r="F52" s="21">
        <f>SUM(D52,E53:E54)</f>
        <v>0</v>
      </c>
      <c r="G52" s="81">
        <v>102</v>
      </c>
      <c r="H52" s="20">
        <f>ROUND(G52/18,2)</f>
        <v>5.67</v>
      </c>
      <c r="I52" s="20"/>
      <c r="J52" s="21">
        <f>SUM(H52,I53:I54)</f>
        <v>5.67</v>
      </c>
      <c r="K52" s="82"/>
      <c r="L52" s="20">
        <f>ROUND(K52/18,2)</f>
        <v>0</v>
      </c>
      <c r="M52" s="20"/>
      <c r="N52" s="21">
        <f>SUM(L52,M53:M54)</f>
        <v>0</v>
      </c>
      <c r="O52" s="22">
        <f t="shared" ref="O52:O54" si="100">SUMIF($C$3:$N$3,"SCH",C52:N52)</f>
        <v>102</v>
      </c>
      <c r="P52" s="22">
        <f>ROUND(O52/36,2)</f>
        <v>2.83</v>
      </c>
      <c r="Q52" s="22"/>
      <c r="R52" s="23">
        <f>SUM(P52,Q53:Q54)</f>
        <v>2.83</v>
      </c>
    </row>
    <row r="53" spans="1:18" ht="18.75" customHeight="1" x14ac:dyDescent="0.35">
      <c r="A53" s="163"/>
      <c r="B53" s="145" t="s">
        <v>9</v>
      </c>
      <c r="C53" s="140"/>
      <c r="D53" s="20">
        <f t="shared" ref="D53:D54" si="101">ROUND(C53/12,2)</f>
        <v>0</v>
      </c>
      <c r="E53" s="20">
        <f t="shared" ref="E53:E54" si="102">D53*2</f>
        <v>0</v>
      </c>
      <c r="F53" s="21"/>
      <c r="G53" s="81"/>
      <c r="H53" s="20">
        <f t="shared" ref="H53:H54" si="103">ROUND(G53/12,2)</f>
        <v>0</v>
      </c>
      <c r="I53" s="20">
        <f t="shared" ref="I53:I54" si="104">H53*2</f>
        <v>0</v>
      </c>
      <c r="J53" s="21"/>
      <c r="K53" s="82"/>
      <c r="L53" s="20">
        <f t="shared" ref="L53:L54" si="105">ROUND(K53/12,2)</f>
        <v>0</v>
      </c>
      <c r="M53" s="20">
        <f t="shared" ref="M53:M54" si="106">L53*2</f>
        <v>0</v>
      </c>
      <c r="N53" s="21"/>
      <c r="O53" s="22">
        <f t="shared" si="100"/>
        <v>0</v>
      </c>
      <c r="P53" s="22">
        <f t="shared" ref="P53:P54" si="107">ROUND(O53/24,2)</f>
        <v>0</v>
      </c>
      <c r="Q53" s="22">
        <f t="shared" ref="Q53:Q54" si="108">P53*2</f>
        <v>0</v>
      </c>
      <c r="R53" s="23"/>
    </row>
    <row r="54" spans="1:18" ht="18.75" customHeight="1" thickBot="1" x14ac:dyDescent="0.4">
      <c r="A54" s="164"/>
      <c r="B54" s="146" t="s">
        <v>10</v>
      </c>
      <c r="C54" s="298"/>
      <c r="D54" s="24">
        <f t="shared" si="101"/>
        <v>0</v>
      </c>
      <c r="E54" s="24">
        <f t="shared" si="102"/>
        <v>0</v>
      </c>
      <c r="F54" s="25"/>
      <c r="G54" s="83"/>
      <c r="H54" s="24">
        <f t="shared" si="103"/>
        <v>0</v>
      </c>
      <c r="I54" s="24">
        <f t="shared" si="104"/>
        <v>0</v>
      </c>
      <c r="J54" s="25"/>
      <c r="K54" s="84"/>
      <c r="L54" s="24">
        <f t="shared" si="105"/>
        <v>0</v>
      </c>
      <c r="M54" s="24">
        <f t="shared" si="106"/>
        <v>0</v>
      </c>
      <c r="N54" s="25"/>
      <c r="O54" s="92">
        <f t="shared" si="100"/>
        <v>0</v>
      </c>
      <c r="P54" s="26">
        <f t="shared" si="107"/>
        <v>0</v>
      </c>
      <c r="Q54" s="26">
        <f t="shared" si="108"/>
        <v>0</v>
      </c>
      <c r="R54" s="27"/>
    </row>
    <row r="55" spans="1:18" ht="18.75" customHeight="1" x14ac:dyDescent="0.35">
      <c r="A55" s="148" t="s">
        <v>24</v>
      </c>
      <c r="B55" s="149"/>
      <c r="C55" s="268"/>
      <c r="D55" s="28"/>
      <c r="E55" s="28"/>
      <c r="F55" s="29"/>
      <c r="G55" s="79"/>
      <c r="H55" s="28"/>
      <c r="I55" s="28"/>
      <c r="J55" s="29"/>
      <c r="K55" s="80"/>
      <c r="L55" s="28"/>
      <c r="M55" s="28"/>
      <c r="N55" s="29"/>
      <c r="O55" s="66"/>
      <c r="P55" s="30"/>
      <c r="Q55" s="30"/>
      <c r="R55" s="31"/>
    </row>
    <row r="56" spans="1:18" ht="18.75" customHeight="1" x14ac:dyDescent="0.35">
      <c r="A56" s="145" t="s">
        <v>7</v>
      </c>
      <c r="B56" s="145" t="s">
        <v>8</v>
      </c>
      <c r="C56" s="140">
        <v>473.214</v>
      </c>
      <c r="D56" s="20">
        <f>ROUND(C56/18,2)</f>
        <v>26.29</v>
      </c>
      <c r="E56" s="20"/>
      <c r="F56" s="21">
        <f>SUM(D56,E57:E58)</f>
        <v>26.29</v>
      </c>
      <c r="G56" s="81">
        <v>38</v>
      </c>
      <c r="H56" s="20">
        <f>ROUND(G56/18,2)</f>
        <v>2.11</v>
      </c>
      <c r="I56" s="20"/>
      <c r="J56" s="21">
        <f>SUM(H56,I57:I58)</f>
        <v>2.11</v>
      </c>
      <c r="K56" s="82"/>
      <c r="L56" s="20">
        <f>ROUND(K56/18,2)</f>
        <v>0</v>
      </c>
      <c r="M56" s="20"/>
      <c r="N56" s="21">
        <f>SUM(L56,M57:M58)</f>
        <v>0</v>
      </c>
      <c r="O56" s="22">
        <f t="shared" ref="O56:O58" si="109">SUMIF($C$3:$N$3,"SCH",C56:N56)</f>
        <v>511.214</v>
      </c>
      <c r="P56" s="22">
        <f>ROUND(O56/36,2)</f>
        <v>14.2</v>
      </c>
      <c r="Q56" s="22"/>
      <c r="R56" s="23">
        <f>SUM(P56,Q57:Q58)</f>
        <v>14.2</v>
      </c>
    </row>
    <row r="57" spans="1:18" ht="18.75" customHeight="1" x14ac:dyDescent="0.35">
      <c r="A57" s="163"/>
      <c r="B57" s="145" t="s">
        <v>9</v>
      </c>
      <c r="C57" s="140"/>
      <c r="D57" s="20">
        <f t="shared" ref="D57:D58" si="110">ROUND(C57/12,2)</f>
        <v>0</v>
      </c>
      <c r="E57" s="20">
        <f t="shared" ref="E57:E58" si="111">D57*1</f>
        <v>0</v>
      </c>
      <c r="F57" s="21"/>
      <c r="G57" s="81"/>
      <c r="H57" s="20">
        <f t="shared" ref="H57:H58" si="112">ROUND(G57/12,2)</f>
        <v>0</v>
      </c>
      <c r="I57" s="20">
        <f t="shared" ref="I57:I58" si="113">H57*1</f>
        <v>0</v>
      </c>
      <c r="J57" s="21"/>
      <c r="K57" s="82"/>
      <c r="L57" s="20">
        <f t="shared" ref="L57:L58" si="114">ROUND(K57/12,2)</f>
        <v>0</v>
      </c>
      <c r="M57" s="20">
        <f t="shared" ref="M57:M58" si="115">L57*1</f>
        <v>0</v>
      </c>
      <c r="N57" s="21"/>
      <c r="O57" s="22">
        <f t="shared" si="109"/>
        <v>0</v>
      </c>
      <c r="P57" s="22">
        <f t="shared" ref="P57:P58" si="116">ROUND(O57/24,2)</f>
        <v>0</v>
      </c>
      <c r="Q57" s="22">
        <f t="shared" ref="Q57:Q58" si="117">P57*1</f>
        <v>0</v>
      </c>
      <c r="R57" s="23"/>
    </row>
    <row r="58" spans="1:18" ht="18.75" customHeight="1" thickBot="1" x14ac:dyDescent="0.4">
      <c r="A58" s="164"/>
      <c r="B58" s="146" t="s">
        <v>10</v>
      </c>
      <c r="C58" s="298"/>
      <c r="D58" s="24">
        <f t="shared" si="110"/>
        <v>0</v>
      </c>
      <c r="E58" s="24">
        <f t="shared" si="111"/>
        <v>0</v>
      </c>
      <c r="F58" s="25"/>
      <c r="G58" s="83"/>
      <c r="H58" s="24">
        <f t="shared" si="112"/>
        <v>0</v>
      </c>
      <c r="I58" s="24">
        <f t="shared" si="113"/>
        <v>0</v>
      </c>
      <c r="J58" s="25"/>
      <c r="K58" s="84"/>
      <c r="L58" s="24">
        <f t="shared" si="114"/>
        <v>0</v>
      </c>
      <c r="M58" s="24">
        <f t="shared" si="115"/>
        <v>0</v>
      </c>
      <c r="N58" s="25"/>
      <c r="O58" s="92">
        <f t="shared" si="109"/>
        <v>0</v>
      </c>
      <c r="P58" s="26">
        <f t="shared" si="116"/>
        <v>0</v>
      </c>
      <c r="Q58" s="26">
        <f t="shared" si="117"/>
        <v>0</v>
      </c>
      <c r="R58" s="27"/>
    </row>
    <row r="59" spans="1:18" ht="18.75" customHeight="1" x14ac:dyDescent="0.35">
      <c r="A59" s="148" t="s">
        <v>25</v>
      </c>
      <c r="B59" s="149"/>
      <c r="C59" s="268"/>
      <c r="D59" s="28"/>
      <c r="E59" s="28"/>
      <c r="F59" s="29"/>
      <c r="G59" s="79"/>
      <c r="H59" s="28"/>
      <c r="I59" s="28"/>
      <c r="J59" s="29"/>
      <c r="K59" s="80"/>
      <c r="L59" s="28"/>
      <c r="M59" s="28"/>
      <c r="N59" s="29"/>
      <c r="O59" s="30"/>
      <c r="P59" s="30"/>
      <c r="Q59" s="30"/>
      <c r="R59" s="31"/>
    </row>
    <row r="60" spans="1:18" ht="18.75" customHeight="1" x14ac:dyDescent="0.35">
      <c r="A60" s="145" t="s">
        <v>26</v>
      </c>
      <c r="B60" s="145" t="s">
        <v>8</v>
      </c>
      <c r="C60" s="140"/>
      <c r="D60" s="20">
        <f>ROUND(C60/18,2)</f>
        <v>0</v>
      </c>
      <c r="E60" s="20"/>
      <c r="F60" s="21">
        <f>SUM(D60,E61:E62)</f>
        <v>0</v>
      </c>
      <c r="G60" s="81">
        <v>241</v>
      </c>
      <c r="H60" s="20">
        <f>ROUND(G60/18,2)</f>
        <v>13.39</v>
      </c>
      <c r="I60" s="20"/>
      <c r="J60" s="21">
        <f>SUM(H60,I61:I62)</f>
        <v>13.39</v>
      </c>
      <c r="K60" s="82"/>
      <c r="L60" s="20">
        <f>ROUND(K60/18,2)</f>
        <v>0</v>
      </c>
      <c r="M60" s="20"/>
      <c r="N60" s="21">
        <f>SUM(L60,M61:M62)</f>
        <v>0</v>
      </c>
      <c r="O60" s="22">
        <f t="shared" ref="O60:O95" si="118">SUMIF($C$3:$N$3,"SCH",C60:N60)</f>
        <v>241</v>
      </c>
      <c r="P60" s="22">
        <f>ROUND(O60/36,2)</f>
        <v>6.69</v>
      </c>
      <c r="Q60" s="22"/>
      <c r="R60" s="23">
        <f>SUM(P60,Q61:Q62)</f>
        <v>6.69</v>
      </c>
    </row>
    <row r="61" spans="1:18" ht="18.75" customHeight="1" x14ac:dyDescent="0.35">
      <c r="A61" s="145"/>
      <c r="B61" s="145" t="s">
        <v>9</v>
      </c>
      <c r="C61" s="140"/>
      <c r="D61" s="20">
        <f t="shared" ref="D61:D62" si="119">ROUND(C61/12,2)</f>
        <v>0</v>
      </c>
      <c r="E61" s="20">
        <f t="shared" ref="E61:E62" si="120">D61*1.8</f>
        <v>0</v>
      </c>
      <c r="F61" s="21"/>
      <c r="G61" s="81"/>
      <c r="H61" s="20">
        <f t="shared" ref="H61:H62" si="121">ROUND(G61/12,2)</f>
        <v>0</v>
      </c>
      <c r="I61" s="20">
        <f t="shared" ref="I61:I62" si="122">H61*1.8</f>
        <v>0</v>
      </c>
      <c r="J61" s="21"/>
      <c r="K61" s="82"/>
      <c r="L61" s="20">
        <f t="shared" ref="L61:L62" si="123">ROUND(K61/12,2)</f>
        <v>0</v>
      </c>
      <c r="M61" s="20">
        <f t="shared" ref="M61:M62" si="124">L61*1.8</f>
        <v>0</v>
      </c>
      <c r="N61" s="21"/>
      <c r="O61" s="22">
        <f t="shared" si="118"/>
        <v>0</v>
      </c>
      <c r="P61" s="22">
        <f t="shared" ref="P61:P62" si="125">ROUND(O61/24,2)</f>
        <v>0</v>
      </c>
      <c r="Q61" s="22">
        <f t="shared" ref="Q61:Q62" si="126">P61*1.8</f>
        <v>0</v>
      </c>
      <c r="R61" s="23"/>
    </row>
    <row r="62" spans="1:18" ht="18.75" customHeight="1" x14ac:dyDescent="0.35">
      <c r="A62" s="145"/>
      <c r="B62" s="145" t="s">
        <v>10</v>
      </c>
      <c r="C62" s="140"/>
      <c r="D62" s="20">
        <f t="shared" si="119"/>
        <v>0</v>
      </c>
      <c r="E62" s="20">
        <f t="shared" si="120"/>
        <v>0</v>
      </c>
      <c r="F62" s="21"/>
      <c r="G62" s="81"/>
      <c r="H62" s="20">
        <f t="shared" si="121"/>
        <v>0</v>
      </c>
      <c r="I62" s="20">
        <f t="shared" si="122"/>
        <v>0</v>
      </c>
      <c r="J62" s="21"/>
      <c r="K62" s="82"/>
      <c r="L62" s="20">
        <f t="shared" si="123"/>
        <v>0</v>
      </c>
      <c r="M62" s="20">
        <f t="shared" si="124"/>
        <v>0</v>
      </c>
      <c r="N62" s="21"/>
      <c r="O62" s="22">
        <f t="shared" si="118"/>
        <v>0</v>
      </c>
      <c r="P62" s="22">
        <f t="shared" si="125"/>
        <v>0</v>
      </c>
      <c r="Q62" s="22">
        <f t="shared" si="126"/>
        <v>0</v>
      </c>
      <c r="R62" s="23"/>
    </row>
    <row r="63" spans="1:18" ht="18.75" customHeight="1" x14ac:dyDescent="0.35">
      <c r="A63" s="145" t="s">
        <v>27</v>
      </c>
      <c r="B63" s="145" t="s">
        <v>8</v>
      </c>
      <c r="C63" s="140"/>
      <c r="D63" s="20">
        <f>ROUND(C63/18,2)</f>
        <v>0</v>
      </c>
      <c r="E63" s="20"/>
      <c r="F63" s="21">
        <f>SUM(D63,E64:E65)</f>
        <v>9.9</v>
      </c>
      <c r="G63" s="81"/>
      <c r="H63" s="20">
        <f>ROUND(G63/18,2)</f>
        <v>0</v>
      </c>
      <c r="I63" s="20"/>
      <c r="J63" s="21">
        <f>SUM(H63,I64:I65)</f>
        <v>10.35</v>
      </c>
      <c r="K63" s="82"/>
      <c r="L63" s="20">
        <f>ROUND(K63/18,2)</f>
        <v>0</v>
      </c>
      <c r="M63" s="20"/>
      <c r="N63" s="21">
        <f>SUM(L63,M64:M65)</f>
        <v>0</v>
      </c>
      <c r="O63" s="22">
        <f t="shared" si="118"/>
        <v>0</v>
      </c>
      <c r="P63" s="22">
        <f>ROUND(O63/36,2)</f>
        <v>0</v>
      </c>
      <c r="Q63" s="22"/>
      <c r="R63" s="23">
        <f>SUM(P63,Q64:Q65)</f>
        <v>10.134</v>
      </c>
    </row>
    <row r="64" spans="1:18" ht="18.75" customHeight="1" x14ac:dyDescent="0.35">
      <c r="A64" s="145"/>
      <c r="B64" s="145" t="s">
        <v>9</v>
      </c>
      <c r="C64" s="140">
        <v>66</v>
      </c>
      <c r="D64" s="20">
        <f t="shared" ref="D64:D65" si="127">ROUND(C64/12,2)</f>
        <v>5.5</v>
      </c>
      <c r="E64" s="20">
        <f t="shared" ref="E64:E65" si="128">D64*1.8</f>
        <v>9.9</v>
      </c>
      <c r="F64" s="21"/>
      <c r="G64" s="81">
        <v>69</v>
      </c>
      <c r="H64" s="20">
        <f t="shared" ref="H64:H65" si="129">ROUND(G64/12,2)</f>
        <v>5.75</v>
      </c>
      <c r="I64" s="20">
        <f t="shared" ref="I64:I65" si="130">H64*1.8</f>
        <v>10.35</v>
      </c>
      <c r="J64" s="21"/>
      <c r="K64" s="82"/>
      <c r="L64" s="20">
        <f t="shared" ref="L64:L65" si="131">ROUND(K64/12,2)</f>
        <v>0</v>
      </c>
      <c r="M64" s="20">
        <f t="shared" ref="M64:M65" si="132">L64*1.8</f>
        <v>0</v>
      </c>
      <c r="N64" s="21"/>
      <c r="O64" s="22">
        <f t="shared" si="118"/>
        <v>135</v>
      </c>
      <c r="P64" s="22">
        <f t="shared" ref="P64:P65" si="133">ROUND(O64/24,2)</f>
        <v>5.63</v>
      </c>
      <c r="Q64" s="22">
        <f t="shared" ref="Q64:Q65" si="134">P64*1.8</f>
        <v>10.134</v>
      </c>
      <c r="R64" s="23"/>
    </row>
    <row r="65" spans="1:18" ht="18.75" customHeight="1" x14ac:dyDescent="0.35">
      <c r="A65" s="145"/>
      <c r="B65" s="145" t="s">
        <v>10</v>
      </c>
      <c r="C65" s="140"/>
      <c r="D65" s="20">
        <f t="shared" si="127"/>
        <v>0</v>
      </c>
      <c r="E65" s="20">
        <f t="shared" si="128"/>
        <v>0</v>
      </c>
      <c r="F65" s="21"/>
      <c r="G65" s="81"/>
      <c r="H65" s="20">
        <f t="shared" si="129"/>
        <v>0</v>
      </c>
      <c r="I65" s="20">
        <f t="shared" si="130"/>
        <v>0</v>
      </c>
      <c r="J65" s="21"/>
      <c r="K65" s="82"/>
      <c r="L65" s="20">
        <f t="shared" si="131"/>
        <v>0</v>
      </c>
      <c r="M65" s="20">
        <f t="shared" si="132"/>
        <v>0</v>
      </c>
      <c r="N65" s="21"/>
      <c r="O65" s="22">
        <f t="shared" si="118"/>
        <v>0</v>
      </c>
      <c r="P65" s="22">
        <f t="shared" si="133"/>
        <v>0</v>
      </c>
      <c r="Q65" s="22">
        <f t="shared" si="134"/>
        <v>0</v>
      </c>
      <c r="R65" s="23"/>
    </row>
    <row r="66" spans="1:18" ht="18.75" customHeight="1" x14ac:dyDescent="0.35">
      <c r="A66" s="145" t="s">
        <v>28</v>
      </c>
      <c r="B66" s="145" t="s">
        <v>8</v>
      </c>
      <c r="C66" s="140">
        <v>69</v>
      </c>
      <c r="D66" s="20">
        <f>ROUND(C66/18,2)</f>
        <v>3.83</v>
      </c>
      <c r="E66" s="20"/>
      <c r="F66" s="21">
        <f>SUM(D66,E67:E68)</f>
        <v>3.83</v>
      </c>
      <c r="G66" s="81">
        <v>69</v>
      </c>
      <c r="H66" s="20">
        <f>ROUND(G66/18,2)</f>
        <v>3.83</v>
      </c>
      <c r="I66" s="20"/>
      <c r="J66" s="21">
        <f>SUM(H66,I67:I68)</f>
        <v>3.83</v>
      </c>
      <c r="K66" s="82"/>
      <c r="L66" s="20">
        <f>ROUND(K66/18,2)</f>
        <v>0</v>
      </c>
      <c r="M66" s="20"/>
      <c r="N66" s="21">
        <f>SUM(L66,M67:M68)</f>
        <v>0</v>
      </c>
      <c r="O66" s="22">
        <f t="shared" si="118"/>
        <v>138</v>
      </c>
      <c r="P66" s="22">
        <f>ROUND(O66/36,2)</f>
        <v>3.83</v>
      </c>
      <c r="Q66" s="22"/>
      <c r="R66" s="23">
        <f>SUM(P66,Q67:Q68)</f>
        <v>3.83</v>
      </c>
    </row>
    <row r="67" spans="1:18" ht="18.75" customHeight="1" x14ac:dyDescent="0.35">
      <c r="A67" s="145"/>
      <c r="B67" s="145" t="s">
        <v>9</v>
      </c>
      <c r="C67" s="140"/>
      <c r="D67" s="20">
        <f t="shared" ref="D67:D68" si="135">ROUND(C67/12,2)</f>
        <v>0</v>
      </c>
      <c r="E67" s="20">
        <f t="shared" ref="E67:E68" si="136">D67*1.8</f>
        <v>0</v>
      </c>
      <c r="F67" s="21"/>
      <c r="G67" s="81"/>
      <c r="H67" s="20">
        <f t="shared" ref="H67:H68" si="137">ROUND(G67/12,2)</f>
        <v>0</v>
      </c>
      <c r="I67" s="20">
        <f t="shared" ref="I67:I68" si="138">H67*1.8</f>
        <v>0</v>
      </c>
      <c r="J67" s="21"/>
      <c r="K67" s="82"/>
      <c r="L67" s="20">
        <f t="shared" ref="L67:L68" si="139">ROUND(K67/12,2)</f>
        <v>0</v>
      </c>
      <c r="M67" s="20">
        <f t="shared" ref="M67:M68" si="140">L67*1.8</f>
        <v>0</v>
      </c>
      <c r="N67" s="21"/>
      <c r="O67" s="22">
        <f t="shared" si="118"/>
        <v>0</v>
      </c>
      <c r="P67" s="22">
        <f t="shared" ref="P67:P68" si="141">ROUND(O67/24,2)</f>
        <v>0</v>
      </c>
      <c r="Q67" s="22">
        <f t="shared" ref="Q67:Q68" si="142">P67*1.8</f>
        <v>0</v>
      </c>
      <c r="R67" s="23"/>
    </row>
    <row r="68" spans="1:18" ht="18.75" customHeight="1" x14ac:dyDescent="0.35">
      <c r="A68" s="145"/>
      <c r="B68" s="145" t="s">
        <v>10</v>
      </c>
      <c r="C68" s="140"/>
      <c r="D68" s="20">
        <f t="shared" si="135"/>
        <v>0</v>
      </c>
      <c r="E68" s="20">
        <f t="shared" si="136"/>
        <v>0</v>
      </c>
      <c r="F68" s="21"/>
      <c r="G68" s="81"/>
      <c r="H68" s="20">
        <f t="shared" si="137"/>
        <v>0</v>
      </c>
      <c r="I68" s="20">
        <f t="shared" si="138"/>
        <v>0</v>
      </c>
      <c r="J68" s="21"/>
      <c r="K68" s="82"/>
      <c r="L68" s="20">
        <f t="shared" si="139"/>
        <v>0</v>
      </c>
      <c r="M68" s="20">
        <f t="shared" si="140"/>
        <v>0</v>
      </c>
      <c r="N68" s="21"/>
      <c r="O68" s="22">
        <f t="shared" si="118"/>
        <v>0</v>
      </c>
      <c r="P68" s="22">
        <f t="shared" si="141"/>
        <v>0</v>
      </c>
      <c r="Q68" s="22">
        <f t="shared" si="142"/>
        <v>0</v>
      </c>
      <c r="R68" s="23"/>
    </row>
    <row r="69" spans="1:18" ht="18.75" customHeight="1" x14ac:dyDescent="0.35">
      <c r="A69" s="145" t="s">
        <v>29</v>
      </c>
      <c r="B69" s="145" t="s">
        <v>8</v>
      </c>
      <c r="C69" s="140">
        <v>3527</v>
      </c>
      <c r="D69" s="20">
        <f>ROUND(C69/18,2)</f>
        <v>195.94</v>
      </c>
      <c r="E69" s="20"/>
      <c r="F69" s="21">
        <f>SUM(D69,E70:E71)</f>
        <v>201.79</v>
      </c>
      <c r="G69" s="81">
        <v>3708</v>
      </c>
      <c r="H69" s="20">
        <f>ROUND(G69/18,2)</f>
        <v>206</v>
      </c>
      <c r="I69" s="20"/>
      <c r="J69" s="21">
        <f>SUM(H69,I70:I71)</f>
        <v>218.6</v>
      </c>
      <c r="K69" s="82">
        <v>1557</v>
      </c>
      <c r="L69" s="20">
        <f>ROUND(K69/18,2)</f>
        <v>86.5</v>
      </c>
      <c r="M69" s="20"/>
      <c r="N69" s="21">
        <f>SUM(L69,M70:M71)</f>
        <v>86.5</v>
      </c>
      <c r="O69" s="22">
        <f t="shared" si="118"/>
        <v>8792</v>
      </c>
      <c r="P69" s="22">
        <f>ROUND(O69/36,2)</f>
        <v>244.22</v>
      </c>
      <c r="Q69" s="22"/>
      <c r="R69" s="23">
        <f>SUM(P69,Q70:Q71)</f>
        <v>253.45400000000001</v>
      </c>
    </row>
    <row r="70" spans="1:18" ht="18.75" customHeight="1" x14ac:dyDescent="0.35">
      <c r="A70" s="145"/>
      <c r="B70" s="145" t="s">
        <v>9</v>
      </c>
      <c r="C70" s="140">
        <v>39</v>
      </c>
      <c r="D70" s="20">
        <f t="shared" ref="D70:D71" si="143">ROUND(C70/12,2)</f>
        <v>3.25</v>
      </c>
      <c r="E70" s="20">
        <f t="shared" ref="E70:E71" si="144">D70*1.8</f>
        <v>5.8500000000000005</v>
      </c>
      <c r="F70" s="21"/>
      <c r="G70" s="81">
        <v>84</v>
      </c>
      <c r="H70" s="20">
        <f t="shared" ref="H70:H71" si="145">ROUND(G70/12,2)</f>
        <v>7</v>
      </c>
      <c r="I70" s="20">
        <f t="shared" ref="I70:I71" si="146">H70*1.8</f>
        <v>12.6</v>
      </c>
      <c r="J70" s="21"/>
      <c r="K70" s="82"/>
      <c r="L70" s="20">
        <f t="shared" ref="L70:L71" si="147">ROUND(K70/12,2)</f>
        <v>0</v>
      </c>
      <c r="M70" s="20">
        <f t="shared" ref="M70:M71" si="148">L70*1.8</f>
        <v>0</v>
      </c>
      <c r="N70" s="21"/>
      <c r="O70" s="22">
        <f t="shared" si="118"/>
        <v>123</v>
      </c>
      <c r="P70" s="22">
        <f t="shared" ref="P70:P71" si="149">ROUND(O70/24,2)</f>
        <v>5.13</v>
      </c>
      <c r="Q70" s="22">
        <f t="shared" ref="Q70:Q71" si="150">P70*1.8</f>
        <v>9.234</v>
      </c>
      <c r="R70" s="23"/>
    </row>
    <row r="71" spans="1:18" ht="18.75" customHeight="1" x14ac:dyDescent="0.35">
      <c r="A71" s="145"/>
      <c r="B71" s="145" t="s">
        <v>10</v>
      </c>
      <c r="C71" s="140"/>
      <c r="D71" s="20">
        <f t="shared" si="143"/>
        <v>0</v>
      </c>
      <c r="E71" s="20">
        <f t="shared" si="144"/>
        <v>0</v>
      </c>
      <c r="F71" s="21"/>
      <c r="G71" s="81"/>
      <c r="H71" s="20">
        <f t="shared" si="145"/>
        <v>0</v>
      </c>
      <c r="I71" s="20">
        <f t="shared" si="146"/>
        <v>0</v>
      </c>
      <c r="J71" s="21"/>
      <c r="K71" s="82"/>
      <c r="L71" s="20">
        <f t="shared" si="147"/>
        <v>0</v>
      </c>
      <c r="M71" s="20">
        <f t="shared" si="148"/>
        <v>0</v>
      </c>
      <c r="N71" s="21"/>
      <c r="O71" s="22">
        <f t="shared" si="118"/>
        <v>0</v>
      </c>
      <c r="P71" s="22">
        <f t="shared" si="149"/>
        <v>0</v>
      </c>
      <c r="Q71" s="22">
        <f t="shared" si="150"/>
        <v>0</v>
      </c>
      <c r="R71" s="23"/>
    </row>
    <row r="72" spans="1:18" ht="18.75" customHeight="1" x14ac:dyDescent="0.35">
      <c r="A72" s="145" t="s">
        <v>30</v>
      </c>
      <c r="B72" s="145" t="s">
        <v>8</v>
      </c>
      <c r="C72" s="140"/>
      <c r="D72" s="20">
        <f>ROUND(C72/18,2)</f>
        <v>0</v>
      </c>
      <c r="E72" s="20"/>
      <c r="F72" s="21">
        <f>SUM(D72,E73:E74)</f>
        <v>0</v>
      </c>
      <c r="G72" s="81"/>
      <c r="H72" s="20">
        <f>ROUND(G72/18,2)</f>
        <v>0</v>
      </c>
      <c r="I72" s="20"/>
      <c r="J72" s="21">
        <f>SUM(H72,I73:I74)</f>
        <v>0</v>
      </c>
      <c r="K72" s="82"/>
      <c r="L72" s="20">
        <f>ROUND(K72/18,2)</f>
        <v>0</v>
      </c>
      <c r="M72" s="20"/>
      <c r="N72" s="21">
        <f>SUM(L72,M73:M74)</f>
        <v>0</v>
      </c>
      <c r="O72" s="22">
        <f t="shared" si="118"/>
        <v>0</v>
      </c>
      <c r="P72" s="22">
        <f>ROUND(O72/36,2)</f>
        <v>0</v>
      </c>
      <c r="Q72" s="22"/>
      <c r="R72" s="23">
        <f>SUM(P72,Q73:Q74)</f>
        <v>0</v>
      </c>
    </row>
    <row r="73" spans="1:18" ht="18.75" customHeight="1" x14ac:dyDescent="0.35">
      <c r="A73" s="145"/>
      <c r="B73" s="145" t="s">
        <v>9</v>
      </c>
      <c r="C73" s="140"/>
      <c r="D73" s="20">
        <f t="shared" ref="D73:D74" si="151">ROUND(C73/12,2)</f>
        <v>0</v>
      </c>
      <c r="E73" s="20">
        <f t="shared" ref="E73:E74" si="152">D73*1.8</f>
        <v>0</v>
      </c>
      <c r="F73" s="21"/>
      <c r="G73" s="81"/>
      <c r="H73" s="20">
        <f t="shared" ref="H73:H74" si="153">ROUND(G73/12,2)</f>
        <v>0</v>
      </c>
      <c r="I73" s="20">
        <f t="shared" ref="I73:I74" si="154">H73*1.8</f>
        <v>0</v>
      </c>
      <c r="J73" s="21"/>
      <c r="K73" s="82"/>
      <c r="L73" s="20">
        <f t="shared" ref="L73:L74" si="155">ROUND(K73/12,2)</f>
        <v>0</v>
      </c>
      <c r="M73" s="20">
        <f t="shared" ref="M73:M74" si="156">L73*1.8</f>
        <v>0</v>
      </c>
      <c r="N73" s="21"/>
      <c r="O73" s="22">
        <f t="shared" si="118"/>
        <v>0</v>
      </c>
      <c r="P73" s="22">
        <f t="shared" ref="P73:P74" si="157">ROUND(O73/24,2)</f>
        <v>0</v>
      </c>
      <c r="Q73" s="22">
        <f t="shared" ref="Q73:Q74" si="158">P73*1.8</f>
        <v>0</v>
      </c>
      <c r="R73" s="23"/>
    </row>
    <row r="74" spans="1:18" ht="18.75" customHeight="1" x14ac:dyDescent="0.35">
      <c r="A74" s="145"/>
      <c r="B74" s="145" t="s">
        <v>10</v>
      </c>
      <c r="C74" s="140"/>
      <c r="D74" s="20">
        <f t="shared" si="151"/>
        <v>0</v>
      </c>
      <c r="E74" s="20">
        <f t="shared" si="152"/>
        <v>0</v>
      </c>
      <c r="F74" s="21"/>
      <c r="G74" s="81"/>
      <c r="H74" s="20">
        <f t="shared" si="153"/>
        <v>0</v>
      </c>
      <c r="I74" s="20">
        <f t="shared" si="154"/>
        <v>0</v>
      </c>
      <c r="J74" s="21"/>
      <c r="K74" s="82"/>
      <c r="L74" s="20">
        <f t="shared" si="155"/>
        <v>0</v>
      </c>
      <c r="M74" s="20">
        <f t="shared" si="156"/>
        <v>0</v>
      </c>
      <c r="N74" s="21"/>
      <c r="O74" s="22">
        <f t="shared" si="118"/>
        <v>0</v>
      </c>
      <c r="P74" s="22">
        <f t="shared" si="157"/>
        <v>0</v>
      </c>
      <c r="Q74" s="22">
        <f t="shared" si="158"/>
        <v>0</v>
      </c>
      <c r="R74" s="23"/>
    </row>
    <row r="75" spans="1:18" ht="18.75" customHeight="1" x14ac:dyDescent="0.35">
      <c r="A75" s="145" t="s">
        <v>31</v>
      </c>
      <c r="B75" s="145" t="s">
        <v>8</v>
      </c>
      <c r="C75" s="140"/>
      <c r="D75" s="20">
        <f>ROUND(C75/18,2)</f>
        <v>0</v>
      </c>
      <c r="E75" s="20"/>
      <c r="F75" s="21">
        <f>SUM(D75,E76:E77)</f>
        <v>5.4</v>
      </c>
      <c r="G75" s="81">
        <v>1313</v>
      </c>
      <c r="H75" s="20">
        <f>ROUND(G75/18,2)</f>
        <v>72.94</v>
      </c>
      <c r="I75" s="20"/>
      <c r="J75" s="21">
        <f>SUM(H75,I76:I77)</f>
        <v>72.94</v>
      </c>
      <c r="K75" s="82"/>
      <c r="L75" s="20">
        <f>ROUND(K75/18,2)</f>
        <v>0</v>
      </c>
      <c r="M75" s="20"/>
      <c r="N75" s="21">
        <f>SUM(L75,M76:M77)</f>
        <v>0</v>
      </c>
      <c r="O75" s="22">
        <f t="shared" si="118"/>
        <v>1313</v>
      </c>
      <c r="P75" s="22">
        <f>ROUND(O75/36,2)</f>
        <v>36.47</v>
      </c>
      <c r="Q75" s="22"/>
      <c r="R75" s="23">
        <f>SUM(P75,Q76:Q77)</f>
        <v>39.17</v>
      </c>
    </row>
    <row r="76" spans="1:18" ht="18.75" customHeight="1" x14ac:dyDescent="0.35">
      <c r="A76" s="145"/>
      <c r="B76" s="145" t="s">
        <v>9</v>
      </c>
      <c r="C76" s="140">
        <v>36</v>
      </c>
      <c r="D76" s="20">
        <f t="shared" ref="D76:D77" si="159">ROUND(C76/12,2)</f>
        <v>3</v>
      </c>
      <c r="E76" s="20">
        <f t="shared" ref="E76:E77" si="160">D76*1.8</f>
        <v>5.4</v>
      </c>
      <c r="F76" s="21"/>
      <c r="G76" s="81"/>
      <c r="H76" s="20">
        <f t="shared" ref="H76:H77" si="161">ROUND(G76/12,2)</f>
        <v>0</v>
      </c>
      <c r="I76" s="20">
        <f t="shared" ref="I76:I77" si="162">H76*1.8</f>
        <v>0</v>
      </c>
      <c r="J76" s="21"/>
      <c r="K76" s="82"/>
      <c r="L76" s="20">
        <f t="shared" ref="L76:L77" si="163">ROUND(K76/12,2)</f>
        <v>0</v>
      </c>
      <c r="M76" s="20">
        <f t="shared" ref="M76:M77" si="164">L76*1.8</f>
        <v>0</v>
      </c>
      <c r="N76" s="21"/>
      <c r="O76" s="22">
        <f t="shared" si="118"/>
        <v>36</v>
      </c>
      <c r="P76" s="22">
        <f t="shared" ref="P76:P77" si="165">ROUND(O76/24,2)</f>
        <v>1.5</v>
      </c>
      <c r="Q76" s="22">
        <f t="shared" ref="Q76:Q77" si="166">P76*1.8</f>
        <v>2.7</v>
      </c>
      <c r="R76" s="23"/>
    </row>
    <row r="77" spans="1:18" ht="18.75" customHeight="1" x14ac:dyDescent="0.35">
      <c r="A77" s="145"/>
      <c r="B77" s="145" t="s">
        <v>10</v>
      </c>
      <c r="C77" s="140"/>
      <c r="D77" s="20">
        <f t="shared" si="159"/>
        <v>0</v>
      </c>
      <c r="E77" s="20">
        <f t="shared" si="160"/>
        <v>0</v>
      </c>
      <c r="F77" s="21"/>
      <c r="G77" s="81"/>
      <c r="H77" s="20">
        <f t="shared" si="161"/>
        <v>0</v>
      </c>
      <c r="I77" s="20">
        <f t="shared" si="162"/>
        <v>0</v>
      </c>
      <c r="J77" s="21"/>
      <c r="K77" s="82"/>
      <c r="L77" s="20">
        <f t="shared" si="163"/>
        <v>0</v>
      </c>
      <c r="M77" s="20">
        <f t="shared" si="164"/>
        <v>0</v>
      </c>
      <c r="N77" s="21"/>
      <c r="O77" s="22">
        <f t="shared" si="118"/>
        <v>0</v>
      </c>
      <c r="P77" s="22">
        <f t="shared" si="165"/>
        <v>0</v>
      </c>
      <c r="Q77" s="22">
        <f t="shared" si="166"/>
        <v>0</v>
      </c>
      <c r="R77" s="23"/>
    </row>
    <row r="78" spans="1:18" ht="18.75" customHeight="1" x14ac:dyDescent="0.35">
      <c r="A78" s="145" t="s">
        <v>32</v>
      </c>
      <c r="B78" s="145" t="s">
        <v>8</v>
      </c>
      <c r="C78" s="20">
        <v>644.79999999999995</v>
      </c>
      <c r="D78" s="20">
        <f>ROUND(C78/18,2)</f>
        <v>35.82</v>
      </c>
      <c r="E78" s="20"/>
      <c r="F78" s="21">
        <f>SUM(D78,E79:E80)</f>
        <v>35.82</v>
      </c>
      <c r="G78" s="81"/>
      <c r="H78" s="20">
        <f>ROUND(G78/18,2)</f>
        <v>0</v>
      </c>
      <c r="I78" s="20"/>
      <c r="J78" s="21">
        <f>SUM(H78,I79:I80)</f>
        <v>0</v>
      </c>
      <c r="K78" s="82"/>
      <c r="L78" s="20">
        <f>ROUND(K78/18,2)</f>
        <v>0</v>
      </c>
      <c r="M78" s="20"/>
      <c r="N78" s="21">
        <f>SUM(L78,M79:M80)</f>
        <v>0</v>
      </c>
      <c r="O78" s="22">
        <f t="shared" si="118"/>
        <v>644.79999999999995</v>
      </c>
      <c r="P78" s="22">
        <f>ROUND(O78/36,2)</f>
        <v>17.91</v>
      </c>
      <c r="Q78" s="22"/>
      <c r="R78" s="23">
        <f>SUM(P78,Q79:Q80)</f>
        <v>17.91</v>
      </c>
    </row>
    <row r="79" spans="1:18" ht="18.75" customHeight="1" x14ac:dyDescent="0.35">
      <c r="A79" s="145"/>
      <c r="B79" s="145" t="s">
        <v>9</v>
      </c>
      <c r="C79" s="140"/>
      <c r="D79" s="20">
        <f t="shared" ref="D79:D80" si="167">ROUND(C79/12,2)</f>
        <v>0</v>
      </c>
      <c r="E79" s="20">
        <f t="shared" ref="E79:E80" si="168">D79*1.8</f>
        <v>0</v>
      </c>
      <c r="F79" s="21"/>
      <c r="G79" s="81"/>
      <c r="H79" s="20">
        <f t="shared" ref="H79:H80" si="169">ROUND(G79/12,2)</f>
        <v>0</v>
      </c>
      <c r="I79" s="20">
        <f t="shared" ref="I79:I80" si="170">H79*1.8</f>
        <v>0</v>
      </c>
      <c r="J79" s="21"/>
      <c r="K79" s="82"/>
      <c r="L79" s="20">
        <f t="shared" ref="L79:L80" si="171">ROUND(K79/12,2)</f>
        <v>0</v>
      </c>
      <c r="M79" s="20">
        <f t="shared" ref="M79:M80" si="172">L79*1.8</f>
        <v>0</v>
      </c>
      <c r="N79" s="21"/>
      <c r="O79" s="22">
        <f t="shared" si="118"/>
        <v>0</v>
      </c>
      <c r="P79" s="22">
        <f t="shared" ref="P79:P80" si="173">ROUND(O79/24,2)</f>
        <v>0</v>
      </c>
      <c r="Q79" s="22">
        <f t="shared" ref="Q79:Q80" si="174">P79*1.8</f>
        <v>0</v>
      </c>
      <c r="R79" s="23"/>
    </row>
    <row r="80" spans="1:18" ht="18.75" customHeight="1" x14ac:dyDescent="0.35">
      <c r="A80" s="145"/>
      <c r="B80" s="145" t="s">
        <v>10</v>
      </c>
      <c r="C80" s="140"/>
      <c r="D80" s="20">
        <f t="shared" si="167"/>
        <v>0</v>
      </c>
      <c r="E80" s="20">
        <f t="shared" si="168"/>
        <v>0</v>
      </c>
      <c r="F80" s="21"/>
      <c r="G80" s="81"/>
      <c r="H80" s="20">
        <f t="shared" si="169"/>
        <v>0</v>
      </c>
      <c r="I80" s="20">
        <f t="shared" si="170"/>
        <v>0</v>
      </c>
      <c r="J80" s="21"/>
      <c r="K80" s="82"/>
      <c r="L80" s="20">
        <f t="shared" si="171"/>
        <v>0</v>
      </c>
      <c r="M80" s="20">
        <f t="shared" si="172"/>
        <v>0</v>
      </c>
      <c r="N80" s="21"/>
      <c r="O80" s="22">
        <f t="shared" si="118"/>
        <v>0</v>
      </c>
      <c r="P80" s="22">
        <f t="shared" si="173"/>
        <v>0</v>
      </c>
      <c r="Q80" s="22">
        <f t="shared" si="174"/>
        <v>0</v>
      </c>
      <c r="R80" s="23"/>
    </row>
    <row r="81" spans="1:18" ht="18.75" customHeight="1" x14ac:dyDescent="0.35">
      <c r="A81" s="145" t="s">
        <v>33</v>
      </c>
      <c r="B81" s="145" t="s">
        <v>8</v>
      </c>
      <c r="C81" s="140"/>
      <c r="D81" s="20">
        <f>ROUND(C81/18,2)</f>
        <v>0</v>
      </c>
      <c r="E81" s="20"/>
      <c r="F81" s="21">
        <f>SUM(D81,E82:E83)</f>
        <v>0</v>
      </c>
      <c r="G81" s="81">
        <v>735</v>
      </c>
      <c r="H81" s="20">
        <f>ROUND(G81/18,2)</f>
        <v>40.83</v>
      </c>
      <c r="I81" s="20"/>
      <c r="J81" s="21">
        <f>SUM(H81,I82:I83)</f>
        <v>46.23</v>
      </c>
      <c r="K81" s="82"/>
      <c r="L81" s="20">
        <f>ROUND(K81/18,2)</f>
        <v>0</v>
      </c>
      <c r="M81" s="20"/>
      <c r="N81" s="21">
        <f>SUM(L81,M82:M83)</f>
        <v>0</v>
      </c>
      <c r="O81" s="22">
        <f t="shared" si="118"/>
        <v>735</v>
      </c>
      <c r="P81" s="22">
        <f>ROUND(O81/36,2)</f>
        <v>20.420000000000002</v>
      </c>
      <c r="Q81" s="22"/>
      <c r="R81" s="23">
        <f>SUM(P81,Q82:Q83)</f>
        <v>23.12</v>
      </c>
    </row>
    <row r="82" spans="1:18" ht="18.75" customHeight="1" x14ac:dyDescent="0.35">
      <c r="A82" s="145"/>
      <c r="B82" s="145" t="s">
        <v>9</v>
      </c>
      <c r="C82" s="140"/>
      <c r="D82" s="20">
        <f t="shared" ref="D82:D83" si="175">ROUND(C82/12,2)</f>
        <v>0</v>
      </c>
      <c r="E82" s="20">
        <f t="shared" ref="E82:E83" si="176">D82*1.8</f>
        <v>0</v>
      </c>
      <c r="F82" s="21"/>
      <c r="G82" s="81">
        <v>36</v>
      </c>
      <c r="H82" s="20">
        <f t="shared" ref="H82:H83" si="177">ROUND(G82/12,2)</f>
        <v>3</v>
      </c>
      <c r="I82" s="20">
        <f t="shared" ref="I82:I83" si="178">H82*1.8</f>
        <v>5.4</v>
      </c>
      <c r="J82" s="21"/>
      <c r="K82" s="82"/>
      <c r="L82" s="20">
        <f t="shared" ref="L82:L83" si="179">ROUND(K82/12,2)</f>
        <v>0</v>
      </c>
      <c r="M82" s="20">
        <f t="shared" ref="M82:M83" si="180">L82*1.8</f>
        <v>0</v>
      </c>
      <c r="N82" s="21"/>
      <c r="O82" s="22">
        <f t="shared" si="118"/>
        <v>36</v>
      </c>
      <c r="P82" s="22">
        <f t="shared" ref="P82:P83" si="181">ROUND(O82/24,2)</f>
        <v>1.5</v>
      </c>
      <c r="Q82" s="22">
        <f t="shared" ref="Q82:Q83" si="182">P82*1.8</f>
        <v>2.7</v>
      </c>
      <c r="R82" s="23"/>
    </row>
    <row r="83" spans="1:18" ht="18.75" customHeight="1" x14ac:dyDescent="0.35">
      <c r="A83" s="145"/>
      <c r="B83" s="145" t="s">
        <v>10</v>
      </c>
      <c r="C83" s="140"/>
      <c r="D83" s="20">
        <f t="shared" si="175"/>
        <v>0</v>
      </c>
      <c r="E83" s="20">
        <f t="shared" si="176"/>
        <v>0</v>
      </c>
      <c r="F83" s="21"/>
      <c r="G83" s="81"/>
      <c r="H83" s="20">
        <f t="shared" si="177"/>
        <v>0</v>
      </c>
      <c r="I83" s="20">
        <f t="shared" si="178"/>
        <v>0</v>
      </c>
      <c r="J83" s="21"/>
      <c r="K83" s="82"/>
      <c r="L83" s="20">
        <f t="shared" si="179"/>
        <v>0</v>
      </c>
      <c r="M83" s="20">
        <f t="shared" si="180"/>
        <v>0</v>
      </c>
      <c r="N83" s="21"/>
      <c r="O83" s="22">
        <f t="shared" si="118"/>
        <v>0</v>
      </c>
      <c r="P83" s="22">
        <f t="shared" si="181"/>
        <v>0</v>
      </c>
      <c r="Q83" s="22">
        <f t="shared" si="182"/>
        <v>0</v>
      </c>
      <c r="R83" s="23"/>
    </row>
    <row r="84" spans="1:18" ht="18.75" customHeight="1" x14ac:dyDescent="0.35">
      <c r="A84" s="145" t="s">
        <v>34</v>
      </c>
      <c r="B84" s="145" t="s">
        <v>8</v>
      </c>
      <c r="C84" s="140">
        <v>309</v>
      </c>
      <c r="D84" s="20">
        <f>ROUND(C84/18,2)</f>
        <v>17.170000000000002</v>
      </c>
      <c r="E84" s="20"/>
      <c r="F84" s="21">
        <f>SUM(D84,E85:E86)</f>
        <v>17.170000000000002</v>
      </c>
      <c r="G84" s="81">
        <v>267</v>
      </c>
      <c r="H84" s="20">
        <f>ROUND(G84/18,2)</f>
        <v>14.83</v>
      </c>
      <c r="I84" s="20"/>
      <c r="J84" s="21">
        <f>SUM(H84,I85:I86)</f>
        <v>14.83</v>
      </c>
      <c r="K84" s="82"/>
      <c r="L84" s="20">
        <f>ROUND(K84/18,2)</f>
        <v>0</v>
      </c>
      <c r="M84" s="20"/>
      <c r="N84" s="21">
        <f>SUM(L84,M85:M86)</f>
        <v>0</v>
      </c>
      <c r="O84" s="22">
        <f t="shared" si="118"/>
        <v>576</v>
      </c>
      <c r="P84" s="22">
        <f>ROUND(O84/36,2)</f>
        <v>16</v>
      </c>
      <c r="Q84" s="22"/>
      <c r="R84" s="23">
        <f>SUM(P84,Q85:Q86)</f>
        <v>16</v>
      </c>
    </row>
    <row r="85" spans="1:18" ht="18.75" customHeight="1" x14ac:dyDescent="0.35">
      <c r="A85" s="145"/>
      <c r="B85" s="145" t="s">
        <v>9</v>
      </c>
      <c r="C85" s="140"/>
      <c r="D85" s="20">
        <f t="shared" ref="D85:D86" si="183">ROUND(C85/12,2)</f>
        <v>0</v>
      </c>
      <c r="E85" s="20">
        <f t="shared" ref="E85:E86" si="184">D85*1.8</f>
        <v>0</v>
      </c>
      <c r="F85" s="21"/>
      <c r="G85" s="81"/>
      <c r="H85" s="20">
        <f t="shared" ref="H85:H86" si="185">ROUND(G85/12,2)</f>
        <v>0</v>
      </c>
      <c r="I85" s="20">
        <f t="shared" ref="I85:I86" si="186">H85*1.8</f>
        <v>0</v>
      </c>
      <c r="J85" s="21"/>
      <c r="K85" s="82"/>
      <c r="L85" s="20">
        <f t="shared" ref="L85:L86" si="187">ROUND(K85/12,2)</f>
        <v>0</v>
      </c>
      <c r="M85" s="20">
        <f t="shared" ref="M85:M86" si="188">L85*1.8</f>
        <v>0</v>
      </c>
      <c r="N85" s="21"/>
      <c r="O85" s="22">
        <f t="shared" si="118"/>
        <v>0</v>
      </c>
      <c r="P85" s="22">
        <f t="shared" ref="P85:P86" si="189">ROUND(O85/24,2)</f>
        <v>0</v>
      </c>
      <c r="Q85" s="22">
        <f t="shared" ref="Q85:Q86" si="190">P85*1.8</f>
        <v>0</v>
      </c>
      <c r="R85" s="23"/>
    </row>
    <row r="86" spans="1:18" ht="18.75" customHeight="1" x14ac:dyDescent="0.35">
      <c r="A86" s="145"/>
      <c r="B86" s="145" t="s">
        <v>10</v>
      </c>
      <c r="C86" s="140"/>
      <c r="D86" s="20">
        <f t="shared" si="183"/>
        <v>0</v>
      </c>
      <c r="E86" s="20">
        <f t="shared" si="184"/>
        <v>0</v>
      </c>
      <c r="F86" s="21"/>
      <c r="G86" s="81"/>
      <c r="H86" s="20">
        <f t="shared" si="185"/>
        <v>0</v>
      </c>
      <c r="I86" s="20">
        <f t="shared" si="186"/>
        <v>0</v>
      </c>
      <c r="J86" s="21"/>
      <c r="K86" s="82"/>
      <c r="L86" s="20">
        <f t="shared" si="187"/>
        <v>0</v>
      </c>
      <c r="M86" s="20">
        <f t="shared" si="188"/>
        <v>0</v>
      </c>
      <c r="N86" s="21"/>
      <c r="O86" s="22">
        <f t="shared" si="118"/>
        <v>0</v>
      </c>
      <c r="P86" s="22">
        <f t="shared" si="189"/>
        <v>0</v>
      </c>
      <c r="Q86" s="22">
        <f t="shared" si="190"/>
        <v>0</v>
      </c>
      <c r="R86" s="23"/>
    </row>
    <row r="87" spans="1:18" ht="18.75" customHeight="1" x14ac:dyDescent="0.35">
      <c r="A87" s="145" t="s">
        <v>35</v>
      </c>
      <c r="B87" s="145" t="s">
        <v>8</v>
      </c>
      <c r="C87" s="140"/>
      <c r="D87" s="20">
        <f>ROUND(C87/18,2)</f>
        <v>0</v>
      </c>
      <c r="E87" s="20"/>
      <c r="F87" s="21">
        <f>SUM(D87,E88:E89)</f>
        <v>0</v>
      </c>
      <c r="G87" s="81">
        <v>749</v>
      </c>
      <c r="H87" s="20">
        <f>ROUND(G87/18,2)</f>
        <v>41.61</v>
      </c>
      <c r="I87" s="20"/>
      <c r="J87" s="21">
        <f>SUM(H87,I88:I89)</f>
        <v>41.61</v>
      </c>
      <c r="K87" s="82"/>
      <c r="L87" s="20">
        <f>ROUND(K87/18,2)</f>
        <v>0</v>
      </c>
      <c r="M87" s="20"/>
      <c r="N87" s="21">
        <f>SUM(L87,M88:M89)</f>
        <v>0</v>
      </c>
      <c r="O87" s="22">
        <f t="shared" si="118"/>
        <v>749</v>
      </c>
      <c r="P87" s="22">
        <f>ROUND(O87/36,2)</f>
        <v>20.81</v>
      </c>
      <c r="Q87" s="22"/>
      <c r="R87" s="23">
        <f>SUM(P87,Q88:Q89)</f>
        <v>20.81</v>
      </c>
    </row>
    <row r="88" spans="1:18" ht="18.75" customHeight="1" x14ac:dyDescent="0.35">
      <c r="A88" s="145"/>
      <c r="B88" s="145" t="s">
        <v>9</v>
      </c>
      <c r="C88" s="140"/>
      <c r="D88" s="20">
        <f t="shared" ref="D88:D89" si="191">ROUND(C88/12,2)</f>
        <v>0</v>
      </c>
      <c r="E88" s="20">
        <f t="shared" ref="E88:E89" si="192">D88*1.8</f>
        <v>0</v>
      </c>
      <c r="F88" s="21"/>
      <c r="G88" s="81"/>
      <c r="H88" s="20">
        <f t="shared" ref="H88:H89" si="193">ROUND(G88/12,2)</f>
        <v>0</v>
      </c>
      <c r="I88" s="20">
        <f t="shared" ref="I88:I89" si="194">H88*1.8</f>
        <v>0</v>
      </c>
      <c r="J88" s="21"/>
      <c r="K88" s="82"/>
      <c r="L88" s="20">
        <f t="shared" ref="L88:L89" si="195">ROUND(K88/12,2)</f>
        <v>0</v>
      </c>
      <c r="M88" s="20">
        <f t="shared" ref="M88:M89" si="196">L88*1.8</f>
        <v>0</v>
      </c>
      <c r="N88" s="21"/>
      <c r="O88" s="22">
        <f t="shared" si="118"/>
        <v>0</v>
      </c>
      <c r="P88" s="22">
        <f t="shared" ref="P88:P89" si="197">ROUND(O88/24,2)</f>
        <v>0</v>
      </c>
      <c r="Q88" s="22">
        <f t="shared" ref="Q88:Q89" si="198">P88*1.8</f>
        <v>0</v>
      </c>
      <c r="R88" s="23"/>
    </row>
    <row r="89" spans="1:18" ht="18.75" customHeight="1" x14ac:dyDescent="0.35">
      <c r="A89" s="145"/>
      <c r="B89" s="145" t="s">
        <v>10</v>
      </c>
      <c r="C89" s="140"/>
      <c r="D89" s="20">
        <f t="shared" si="191"/>
        <v>0</v>
      </c>
      <c r="E89" s="20">
        <f t="shared" si="192"/>
        <v>0</v>
      </c>
      <c r="F89" s="21"/>
      <c r="G89" s="81"/>
      <c r="H89" s="20">
        <f t="shared" si="193"/>
        <v>0</v>
      </c>
      <c r="I89" s="20">
        <f t="shared" si="194"/>
        <v>0</v>
      </c>
      <c r="J89" s="21"/>
      <c r="K89" s="82"/>
      <c r="L89" s="20">
        <f t="shared" si="195"/>
        <v>0</v>
      </c>
      <c r="M89" s="20">
        <f t="shared" si="196"/>
        <v>0</v>
      </c>
      <c r="N89" s="21"/>
      <c r="O89" s="22">
        <f t="shared" si="118"/>
        <v>0</v>
      </c>
      <c r="P89" s="22">
        <f t="shared" si="197"/>
        <v>0</v>
      </c>
      <c r="Q89" s="22">
        <f t="shared" si="198"/>
        <v>0</v>
      </c>
      <c r="R89" s="23"/>
    </row>
    <row r="90" spans="1:18" ht="18.75" customHeight="1" x14ac:dyDescent="0.35">
      <c r="A90" s="145" t="s">
        <v>36</v>
      </c>
      <c r="B90" s="145" t="s">
        <v>8</v>
      </c>
      <c r="C90" s="140"/>
      <c r="D90" s="20">
        <f>ROUND(C90/18,2)</f>
        <v>0</v>
      </c>
      <c r="E90" s="20"/>
      <c r="F90" s="21">
        <f>SUM(D90,E91:E92)</f>
        <v>0</v>
      </c>
      <c r="G90" s="81"/>
      <c r="H90" s="20">
        <f>ROUND(G90/18,2)</f>
        <v>0</v>
      </c>
      <c r="I90" s="20"/>
      <c r="J90" s="21">
        <f>SUM(H90,I91:I92)</f>
        <v>0</v>
      </c>
      <c r="K90" s="82"/>
      <c r="L90" s="20">
        <f>ROUND(K90/18,2)</f>
        <v>0</v>
      </c>
      <c r="M90" s="20"/>
      <c r="N90" s="21">
        <f>SUM(L90,M91:M92)</f>
        <v>0</v>
      </c>
      <c r="O90" s="22">
        <f t="shared" si="118"/>
        <v>0</v>
      </c>
      <c r="P90" s="22">
        <f>ROUND(O90/36,2)</f>
        <v>0</v>
      </c>
      <c r="Q90" s="22"/>
      <c r="R90" s="23">
        <f>SUM(P90,Q91:Q92)</f>
        <v>0</v>
      </c>
    </row>
    <row r="91" spans="1:18" ht="18.75" customHeight="1" x14ac:dyDescent="0.35">
      <c r="A91" s="145"/>
      <c r="B91" s="145" t="s">
        <v>9</v>
      </c>
      <c r="C91" s="140"/>
      <c r="D91" s="20">
        <f t="shared" ref="D91:D92" si="199">ROUND(C91/12,2)</f>
        <v>0</v>
      </c>
      <c r="E91" s="20">
        <f t="shared" ref="E91:E92" si="200">D91*1.8</f>
        <v>0</v>
      </c>
      <c r="F91" s="21"/>
      <c r="G91" s="81"/>
      <c r="H91" s="20">
        <f t="shared" ref="H91:H92" si="201">ROUND(G91/12,2)</f>
        <v>0</v>
      </c>
      <c r="I91" s="20">
        <f t="shared" ref="I91:I92" si="202">H91*1.8</f>
        <v>0</v>
      </c>
      <c r="J91" s="21"/>
      <c r="K91" s="82"/>
      <c r="L91" s="20">
        <f t="shared" ref="L91:L92" si="203">ROUND(K91/12,2)</f>
        <v>0</v>
      </c>
      <c r="M91" s="20">
        <f t="shared" ref="M91:M92" si="204">L91*1.8</f>
        <v>0</v>
      </c>
      <c r="N91" s="21"/>
      <c r="O91" s="22">
        <f t="shared" si="118"/>
        <v>0</v>
      </c>
      <c r="P91" s="22">
        <f t="shared" ref="P91:P92" si="205">ROUND(O91/24,2)</f>
        <v>0</v>
      </c>
      <c r="Q91" s="22">
        <f t="shared" ref="Q91:Q92" si="206">P91*1.8</f>
        <v>0</v>
      </c>
      <c r="R91" s="23"/>
    </row>
    <row r="92" spans="1:18" ht="18.75" customHeight="1" x14ac:dyDescent="0.35">
      <c r="A92" s="145"/>
      <c r="B92" s="145" t="s">
        <v>10</v>
      </c>
      <c r="C92" s="140"/>
      <c r="D92" s="20">
        <f t="shared" si="199"/>
        <v>0</v>
      </c>
      <c r="E92" s="20">
        <f t="shared" si="200"/>
        <v>0</v>
      </c>
      <c r="F92" s="21"/>
      <c r="G92" s="81"/>
      <c r="H92" s="20">
        <f t="shared" si="201"/>
        <v>0</v>
      </c>
      <c r="I92" s="20">
        <f t="shared" si="202"/>
        <v>0</v>
      </c>
      <c r="J92" s="21"/>
      <c r="K92" s="82"/>
      <c r="L92" s="20">
        <f t="shared" si="203"/>
        <v>0</v>
      </c>
      <c r="M92" s="20">
        <f t="shared" si="204"/>
        <v>0</v>
      </c>
      <c r="N92" s="21"/>
      <c r="O92" s="22">
        <f t="shared" si="118"/>
        <v>0</v>
      </c>
      <c r="P92" s="22">
        <f t="shared" si="205"/>
        <v>0</v>
      </c>
      <c r="Q92" s="22">
        <f t="shared" si="206"/>
        <v>0</v>
      </c>
      <c r="R92" s="23"/>
    </row>
    <row r="93" spans="1:18" ht="18.75" customHeight="1" x14ac:dyDescent="0.35">
      <c r="A93" s="173" t="s">
        <v>22</v>
      </c>
      <c r="B93" s="151" t="s">
        <v>8</v>
      </c>
      <c r="C93" s="138">
        <f>SUMIF($B$59:$B$92,"ปริญญาตรี",C59:C92)</f>
        <v>4549.8</v>
      </c>
      <c r="D93" s="32">
        <f>ROUND(C93/18,2)</f>
        <v>252.77</v>
      </c>
      <c r="E93" s="32"/>
      <c r="F93" s="33">
        <f>SUM(D93,E94:E95)</f>
        <v>273.92</v>
      </c>
      <c r="G93" s="138">
        <f>SUMIF($B$59:$B$92,"ปริญญาตรี",G59:G92)</f>
        <v>7082</v>
      </c>
      <c r="H93" s="32">
        <f>ROUND(G93/18,2)</f>
        <v>393.44</v>
      </c>
      <c r="I93" s="32"/>
      <c r="J93" s="33">
        <f>SUM(H93,I94:I95)</f>
        <v>421.79</v>
      </c>
      <c r="K93" s="138">
        <f>SUMIF($B$59:$B$92,"ปริญญาตรี",K59:K92)</f>
        <v>1557</v>
      </c>
      <c r="L93" s="32">
        <f>ROUND(K93/18,2)</f>
        <v>86.5</v>
      </c>
      <c r="M93" s="32"/>
      <c r="N93" s="33">
        <f>SUM(L93,M94:M95)</f>
        <v>86.5</v>
      </c>
      <c r="O93" s="136">
        <f t="shared" si="118"/>
        <v>13188.8</v>
      </c>
      <c r="P93" s="34">
        <f>ROUND(O93/36,2)</f>
        <v>366.36</v>
      </c>
      <c r="Q93" s="34"/>
      <c r="R93" s="23">
        <f>SUM(P93,Q94:Q95)</f>
        <v>391.11</v>
      </c>
    </row>
    <row r="94" spans="1:18" ht="18.75" customHeight="1" x14ac:dyDescent="0.35">
      <c r="A94" s="174" t="s">
        <v>22</v>
      </c>
      <c r="B94" s="151" t="s">
        <v>9</v>
      </c>
      <c r="C94" s="138">
        <f>SUMIF($B$59:$B$92,"ปริญญาโท",C59:C92)</f>
        <v>141</v>
      </c>
      <c r="D94" s="32">
        <f t="shared" ref="D94:D95" si="207">ROUND(C94/12,2)</f>
        <v>11.75</v>
      </c>
      <c r="E94" s="32">
        <f t="shared" ref="E94:E95" si="208">D94*1.8</f>
        <v>21.150000000000002</v>
      </c>
      <c r="F94" s="33"/>
      <c r="G94" s="138">
        <f>SUMIF($B$59:$B$92,"ปริญญาโท",G59:G92)</f>
        <v>189</v>
      </c>
      <c r="H94" s="32">
        <f t="shared" ref="H94:H95" si="209">ROUND(G94/12,2)</f>
        <v>15.75</v>
      </c>
      <c r="I94" s="32">
        <f t="shared" ref="I94:I95" si="210">H94*1.8</f>
        <v>28.35</v>
      </c>
      <c r="J94" s="33"/>
      <c r="K94" s="138">
        <f>SUMIF($B$59:$B$92,"ปริญญาโท",K59:K92)</f>
        <v>0</v>
      </c>
      <c r="L94" s="32">
        <f t="shared" ref="L94:L95" si="211">ROUND(K94/12,2)</f>
        <v>0</v>
      </c>
      <c r="M94" s="32">
        <f t="shared" ref="M94:M95" si="212">L94*1.8</f>
        <v>0</v>
      </c>
      <c r="N94" s="33"/>
      <c r="O94" s="136">
        <f t="shared" si="118"/>
        <v>330</v>
      </c>
      <c r="P94" s="34">
        <f t="shared" ref="P94:P95" si="213">ROUND(O94/24,2)</f>
        <v>13.75</v>
      </c>
      <c r="Q94" s="34">
        <f t="shared" ref="Q94:Q95" si="214">P94*1.8</f>
        <v>24.75</v>
      </c>
      <c r="R94" s="23"/>
    </row>
    <row r="95" spans="1:18" ht="18.75" customHeight="1" thickBot="1" x14ac:dyDescent="0.4">
      <c r="A95" s="175" t="s">
        <v>22</v>
      </c>
      <c r="B95" s="152" t="s">
        <v>10</v>
      </c>
      <c r="C95" s="139">
        <f>SUMIF($B$59:$B$92,"ปริญญาเอก",C59:C92)</f>
        <v>0</v>
      </c>
      <c r="D95" s="35">
        <f t="shared" si="207"/>
        <v>0</v>
      </c>
      <c r="E95" s="35">
        <f t="shared" si="208"/>
        <v>0</v>
      </c>
      <c r="F95" s="36"/>
      <c r="G95" s="139">
        <f>SUMIF($B$59:$B$92,"ปริญญาเอก",G59:G92)</f>
        <v>0</v>
      </c>
      <c r="H95" s="35">
        <f t="shared" si="209"/>
        <v>0</v>
      </c>
      <c r="I95" s="35">
        <f t="shared" si="210"/>
        <v>0</v>
      </c>
      <c r="J95" s="36"/>
      <c r="K95" s="139">
        <f>SUMIF($B$59:$B$92,"ปริญญาเอก",K59:K92)</f>
        <v>0</v>
      </c>
      <c r="L95" s="35">
        <f t="shared" si="211"/>
        <v>0</v>
      </c>
      <c r="M95" s="35">
        <f t="shared" si="212"/>
        <v>0</v>
      </c>
      <c r="N95" s="36"/>
      <c r="O95" s="137">
        <f t="shared" si="118"/>
        <v>0</v>
      </c>
      <c r="P95" s="37">
        <f t="shared" si="213"/>
        <v>0</v>
      </c>
      <c r="Q95" s="37">
        <f t="shared" si="214"/>
        <v>0</v>
      </c>
      <c r="R95" s="27"/>
    </row>
    <row r="96" spans="1:18" ht="18.75" customHeight="1" x14ac:dyDescent="0.35">
      <c r="A96" s="148" t="s">
        <v>37</v>
      </c>
      <c r="B96" s="149"/>
      <c r="C96" s="80"/>
      <c r="D96" s="28"/>
      <c r="E96" s="28"/>
      <c r="F96" s="29"/>
      <c r="G96" s="79"/>
      <c r="H96" s="28"/>
      <c r="I96" s="28"/>
      <c r="J96" s="29"/>
      <c r="K96" s="80"/>
      <c r="L96" s="28"/>
      <c r="M96" s="28"/>
      <c r="N96" s="29"/>
      <c r="O96" s="30"/>
      <c r="P96" s="30"/>
      <c r="Q96" s="30"/>
      <c r="R96" s="31"/>
    </row>
    <row r="97" spans="1:18" ht="18.75" customHeight="1" x14ac:dyDescent="0.35">
      <c r="A97" s="145" t="s">
        <v>38</v>
      </c>
      <c r="B97" s="145" t="s">
        <v>8</v>
      </c>
      <c r="C97" s="140">
        <v>5023</v>
      </c>
      <c r="D97" s="20">
        <f>ROUND(C97/18,2)</f>
        <v>279.06</v>
      </c>
      <c r="E97" s="20"/>
      <c r="F97" s="21">
        <f>SUM(D97,E98:E99)</f>
        <v>310.56</v>
      </c>
      <c r="G97" s="81">
        <v>4833</v>
      </c>
      <c r="H97" s="20">
        <f>ROUND(G97/18,2)</f>
        <v>268.5</v>
      </c>
      <c r="I97" s="20"/>
      <c r="J97" s="21">
        <f>SUM(H97,I98:I99)</f>
        <v>290.55</v>
      </c>
      <c r="K97" s="82">
        <v>728</v>
      </c>
      <c r="L97" s="20">
        <f>ROUND(K97/18,2)</f>
        <v>40.44</v>
      </c>
      <c r="M97" s="20"/>
      <c r="N97" s="21">
        <f>SUM(L97,M98:M99)</f>
        <v>48.54</v>
      </c>
      <c r="O97" s="22">
        <f t="shared" ref="O97:O108" si="215">SUMIF($C$3:$N$3,"SCH",C97:N97)</f>
        <v>10584</v>
      </c>
      <c r="P97" s="22">
        <f>ROUND(O97/36,2)</f>
        <v>294</v>
      </c>
      <c r="Q97" s="22"/>
      <c r="R97" s="23">
        <f>SUM(P97,Q98:Q99)</f>
        <v>324.834</v>
      </c>
    </row>
    <row r="98" spans="1:18" ht="18.75" customHeight="1" x14ac:dyDescent="0.35">
      <c r="A98" s="145"/>
      <c r="B98" s="145" t="s">
        <v>9</v>
      </c>
      <c r="C98" s="140">
        <v>210</v>
      </c>
      <c r="D98" s="20">
        <f t="shared" ref="D98:D99" si="216">ROUND(C98/12,2)</f>
        <v>17.5</v>
      </c>
      <c r="E98" s="20">
        <f t="shared" ref="E98:E99" si="217">D98*1.8</f>
        <v>31.5</v>
      </c>
      <c r="F98" s="21"/>
      <c r="G98" s="81">
        <v>147</v>
      </c>
      <c r="H98" s="20">
        <f t="shared" ref="H98:H99" si="218">ROUND(G98/12,2)</f>
        <v>12.25</v>
      </c>
      <c r="I98" s="20">
        <f t="shared" ref="I98:I99" si="219">H98*1.8</f>
        <v>22.05</v>
      </c>
      <c r="J98" s="21"/>
      <c r="K98" s="82">
        <v>54</v>
      </c>
      <c r="L98" s="20">
        <f t="shared" ref="L98:L99" si="220">ROUND(K98/12,2)</f>
        <v>4.5</v>
      </c>
      <c r="M98" s="20">
        <f t="shared" ref="M98:M99" si="221">L98*1.8</f>
        <v>8.1</v>
      </c>
      <c r="N98" s="21"/>
      <c r="O98" s="22">
        <f t="shared" si="215"/>
        <v>411</v>
      </c>
      <c r="P98" s="22">
        <f t="shared" ref="P98:P99" si="222">ROUND(O98/24,2)</f>
        <v>17.13</v>
      </c>
      <c r="Q98" s="22">
        <f t="shared" ref="Q98:Q99" si="223">P98*1.8</f>
        <v>30.834</v>
      </c>
      <c r="R98" s="23"/>
    </row>
    <row r="99" spans="1:18" ht="18.75" customHeight="1" x14ac:dyDescent="0.35">
      <c r="A99" s="145"/>
      <c r="B99" s="145" t="s">
        <v>10</v>
      </c>
      <c r="C99" s="140"/>
      <c r="D99" s="20">
        <f t="shared" si="216"/>
        <v>0</v>
      </c>
      <c r="E99" s="20">
        <f t="shared" si="217"/>
        <v>0</v>
      </c>
      <c r="F99" s="21"/>
      <c r="G99" s="81"/>
      <c r="H99" s="20">
        <f t="shared" si="218"/>
        <v>0</v>
      </c>
      <c r="I99" s="20">
        <f t="shared" si="219"/>
        <v>0</v>
      </c>
      <c r="J99" s="21"/>
      <c r="K99" s="82"/>
      <c r="L99" s="20">
        <f t="shared" si="220"/>
        <v>0</v>
      </c>
      <c r="M99" s="20">
        <f t="shared" si="221"/>
        <v>0</v>
      </c>
      <c r="N99" s="21"/>
      <c r="O99" s="22">
        <f t="shared" si="215"/>
        <v>0</v>
      </c>
      <c r="P99" s="22">
        <f t="shared" si="222"/>
        <v>0</v>
      </c>
      <c r="Q99" s="22">
        <f t="shared" si="223"/>
        <v>0</v>
      </c>
      <c r="R99" s="23"/>
    </row>
    <row r="100" spans="1:18" ht="18.75" customHeight="1" x14ac:dyDescent="0.35">
      <c r="A100" s="145" t="s">
        <v>39</v>
      </c>
      <c r="B100" s="145" t="s">
        <v>8</v>
      </c>
      <c r="C100" s="140">
        <v>1533</v>
      </c>
      <c r="D100" s="20">
        <f>ROUND(C100/18,2)</f>
        <v>85.17</v>
      </c>
      <c r="E100" s="20"/>
      <c r="F100" s="21">
        <f>SUM(D100,E101:E102)</f>
        <v>91.47</v>
      </c>
      <c r="G100" s="81">
        <v>2067</v>
      </c>
      <c r="H100" s="20">
        <f>ROUND(G100/18,2)</f>
        <v>114.83</v>
      </c>
      <c r="I100" s="20"/>
      <c r="J100" s="21">
        <f>SUM(H100,I101:I102)</f>
        <v>114.83</v>
      </c>
      <c r="K100" s="82">
        <v>615</v>
      </c>
      <c r="L100" s="20">
        <f>ROUND(K100/18,2)</f>
        <v>34.17</v>
      </c>
      <c r="M100" s="20"/>
      <c r="N100" s="21">
        <f>SUM(L100,M101:M102)</f>
        <v>34.17</v>
      </c>
      <c r="O100" s="22">
        <f t="shared" si="215"/>
        <v>4215</v>
      </c>
      <c r="P100" s="22">
        <f>ROUND(O100/36,2)</f>
        <v>117.08</v>
      </c>
      <c r="Q100" s="22"/>
      <c r="R100" s="23">
        <f>SUM(P100,Q101:Q102)</f>
        <v>120.23</v>
      </c>
    </row>
    <row r="101" spans="1:18" ht="18.75" customHeight="1" x14ac:dyDescent="0.35">
      <c r="A101" s="145"/>
      <c r="B101" s="145" t="s">
        <v>9</v>
      </c>
      <c r="C101" s="140"/>
      <c r="D101" s="20">
        <f t="shared" ref="D101:D102" si="224">ROUND(C101/12,2)</f>
        <v>0</v>
      </c>
      <c r="E101" s="20">
        <f t="shared" ref="E101:E102" si="225">D101*1.8</f>
        <v>0</v>
      </c>
      <c r="F101" s="21"/>
      <c r="G101" s="81"/>
      <c r="H101" s="20">
        <f t="shared" ref="H101:H102" si="226">ROUND(G101/12,2)</f>
        <v>0</v>
      </c>
      <c r="I101" s="20">
        <f t="shared" ref="I101:I102" si="227">H101*1.8</f>
        <v>0</v>
      </c>
      <c r="J101" s="21"/>
      <c r="K101" s="82"/>
      <c r="L101" s="20">
        <f t="shared" ref="L101:L102" si="228">ROUND(K101/12,2)</f>
        <v>0</v>
      </c>
      <c r="M101" s="20">
        <f t="shared" ref="M101:M102" si="229">L101*1.8</f>
        <v>0</v>
      </c>
      <c r="N101" s="21"/>
      <c r="O101" s="22">
        <f t="shared" si="215"/>
        <v>0</v>
      </c>
      <c r="P101" s="22">
        <f t="shared" ref="P101:P102" si="230">ROUND(O101/24,2)</f>
        <v>0</v>
      </c>
      <c r="Q101" s="22">
        <f t="shared" ref="Q101:Q102" si="231">P101*1.8</f>
        <v>0</v>
      </c>
      <c r="R101" s="23"/>
    </row>
    <row r="102" spans="1:18" ht="18.75" customHeight="1" x14ac:dyDescent="0.35">
      <c r="A102" s="145"/>
      <c r="B102" s="145" t="s">
        <v>10</v>
      </c>
      <c r="C102" s="140">
        <v>42</v>
      </c>
      <c r="D102" s="20">
        <f t="shared" si="224"/>
        <v>3.5</v>
      </c>
      <c r="E102" s="20">
        <f t="shared" si="225"/>
        <v>6.3</v>
      </c>
      <c r="F102" s="21"/>
      <c r="G102" s="81"/>
      <c r="H102" s="20">
        <f t="shared" si="226"/>
        <v>0</v>
      </c>
      <c r="I102" s="20">
        <f t="shared" si="227"/>
        <v>0</v>
      </c>
      <c r="J102" s="21"/>
      <c r="K102" s="82"/>
      <c r="L102" s="20">
        <f t="shared" si="228"/>
        <v>0</v>
      </c>
      <c r="M102" s="20">
        <f t="shared" si="229"/>
        <v>0</v>
      </c>
      <c r="N102" s="21"/>
      <c r="O102" s="22">
        <f t="shared" si="215"/>
        <v>42</v>
      </c>
      <c r="P102" s="22">
        <f t="shared" si="230"/>
        <v>1.75</v>
      </c>
      <c r="Q102" s="22">
        <f t="shared" si="231"/>
        <v>3.15</v>
      </c>
      <c r="R102" s="23"/>
    </row>
    <row r="103" spans="1:18" ht="18.75" customHeight="1" x14ac:dyDescent="0.35">
      <c r="A103" s="145" t="s">
        <v>40</v>
      </c>
      <c r="B103" s="145" t="s">
        <v>8</v>
      </c>
      <c r="C103" s="140">
        <v>2785</v>
      </c>
      <c r="D103" s="20">
        <f>ROUND(C103/18,2)</f>
        <v>154.72</v>
      </c>
      <c r="E103" s="20"/>
      <c r="F103" s="21">
        <f>SUM(D103,E104:E105)</f>
        <v>315.226</v>
      </c>
      <c r="G103" s="81">
        <v>4138</v>
      </c>
      <c r="H103" s="20">
        <f>ROUND(G103/18,2)</f>
        <v>229.89</v>
      </c>
      <c r="I103" s="20"/>
      <c r="J103" s="21">
        <f>SUM(H103,I104:I105)</f>
        <v>367.14</v>
      </c>
      <c r="K103" s="82">
        <v>2278</v>
      </c>
      <c r="L103" s="20">
        <f>ROUND(K103/18,2)</f>
        <v>126.56</v>
      </c>
      <c r="M103" s="20"/>
      <c r="N103" s="21">
        <f>SUM(L103,M104:M105)</f>
        <v>150.85999999999999</v>
      </c>
      <c r="O103" s="22">
        <f t="shared" si="215"/>
        <v>9201</v>
      </c>
      <c r="P103" s="22">
        <f>ROUND(O103/36,2)</f>
        <v>255.58</v>
      </c>
      <c r="Q103" s="22"/>
      <c r="R103" s="23">
        <f>SUM(P103,Q104:Q105)</f>
        <v>416.60799999999995</v>
      </c>
    </row>
    <row r="104" spans="1:18" ht="18.75" customHeight="1" x14ac:dyDescent="0.35">
      <c r="A104" s="145"/>
      <c r="B104" s="145" t="s">
        <v>9</v>
      </c>
      <c r="C104" s="140">
        <v>926</v>
      </c>
      <c r="D104" s="20">
        <f t="shared" ref="D104:D105" si="232">ROUND(C104/12,2)</f>
        <v>77.17</v>
      </c>
      <c r="E104" s="20">
        <f t="shared" ref="E104:E105" si="233">D104*1.8</f>
        <v>138.90600000000001</v>
      </c>
      <c r="F104" s="21"/>
      <c r="G104" s="81">
        <v>831</v>
      </c>
      <c r="H104" s="20">
        <f t="shared" ref="H104:H105" si="234">ROUND(G104/12,2)</f>
        <v>69.25</v>
      </c>
      <c r="I104" s="20">
        <f t="shared" ref="I104:I105" si="235">H104*1.8</f>
        <v>124.65</v>
      </c>
      <c r="J104" s="21"/>
      <c r="K104" s="82">
        <v>78</v>
      </c>
      <c r="L104" s="20">
        <f t="shared" ref="L104:L105" si="236">ROUND(K104/12,2)</f>
        <v>6.5</v>
      </c>
      <c r="M104" s="20">
        <f t="shared" ref="M104:M105" si="237">L104*1.8</f>
        <v>11.700000000000001</v>
      </c>
      <c r="N104" s="21"/>
      <c r="O104" s="22">
        <f t="shared" si="215"/>
        <v>1835</v>
      </c>
      <c r="P104" s="22">
        <f t="shared" ref="P104:P105" si="238">ROUND(O104/24,2)</f>
        <v>76.459999999999994</v>
      </c>
      <c r="Q104" s="22">
        <f t="shared" ref="Q104:Q105" si="239">P104*1.8</f>
        <v>137.62799999999999</v>
      </c>
      <c r="R104" s="23"/>
    </row>
    <row r="105" spans="1:18" ht="18.75" customHeight="1" x14ac:dyDescent="0.35">
      <c r="A105" s="145"/>
      <c r="B105" s="145" t="s">
        <v>10</v>
      </c>
      <c r="C105" s="140">
        <v>144</v>
      </c>
      <c r="D105" s="20">
        <f t="shared" si="232"/>
        <v>12</v>
      </c>
      <c r="E105" s="20">
        <f t="shared" si="233"/>
        <v>21.6</v>
      </c>
      <c r="F105" s="21"/>
      <c r="G105" s="81">
        <v>84</v>
      </c>
      <c r="H105" s="20">
        <f t="shared" si="234"/>
        <v>7</v>
      </c>
      <c r="I105" s="20">
        <f t="shared" si="235"/>
        <v>12.6</v>
      </c>
      <c r="J105" s="21"/>
      <c r="K105" s="82">
        <v>84</v>
      </c>
      <c r="L105" s="20">
        <f t="shared" si="236"/>
        <v>7</v>
      </c>
      <c r="M105" s="20">
        <f t="shared" si="237"/>
        <v>12.6</v>
      </c>
      <c r="N105" s="21"/>
      <c r="O105" s="22">
        <f t="shared" si="215"/>
        <v>312</v>
      </c>
      <c r="P105" s="22">
        <f t="shared" si="238"/>
        <v>13</v>
      </c>
      <c r="Q105" s="22">
        <f t="shared" si="239"/>
        <v>23.400000000000002</v>
      </c>
      <c r="R105" s="23"/>
    </row>
    <row r="106" spans="1:18" ht="18.75" customHeight="1" x14ac:dyDescent="0.35">
      <c r="A106" s="173" t="s">
        <v>22</v>
      </c>
      <c r="B106" s="151" t="s">
        <v>8</v>
      </c>
      <c r="C106" s="93">
        <f>SUMIF($B$96:$B$105,"ปริญญาตรี",C96:C105)</f>
        <v>9341</v>
      </c>
      <c r="D106" s="32">
        <f>ROUND(C106/18,2)</f>
        <v>518.94000000000005</v>
      </c>
      <c r="E106" s="32"/>
      <c r="F106" s="33">
        <f>SUM(D106,E107:E108)</f>
        <v>717.24599999999998</v>
      </c>
      <c r="G106" s="93">
        <f>SUMIF($B$96:$B$105,"ปริญญาตรี",G96:G105)</f>
        <v>11038</v>
      </c>
      <c r="H106" s="32">
        <f>ROUND(G106/18,2)</f>
        <v>613.22</v>
      </c>
      <c r="I106" s="32"/>
      <c r="J106" s="33">
        <f>SUM(H106,I107:I108)</f>
        <v>772.5200000000001</v>
      </c>
      <c r="K106" s="95">
        <f>SUMIF($B$96:$B$105,"ปริญญาตรี",K96:K105)</f>
        <v>3621</v>
      </c>
      <c r="L106" s="32">
        <f>ROUND(K106/18,2)</f>
        <v>201.17</v>
      </c>
      <c r="M106" s="32"/>
      <c r="N106" s="33">
        <f>SUM(L106,M107:M108)</f>
        <v>233.57</v>
      </c>
      <c r="O106" s="136">
        <f t="shared" si="215"/>
        <v>24000</v>
      </c>
      <c r="P106" s="34">
        <f>ROUND(O106/36,2)</f>
        <v>666.67</v>
      </c>
      <c r="Q106" s="34"/>
      <c r="R106" s="23">
        <f>SUM(P106,Q107:Q108)</f>
        <v>861.66399999999987</v>
      </c>
    </row>
    <row r="107" spans="1:18" ht="18.75" customHeight="1" x14ac:dyDescent="0.35">
      <c r="A107" s="174" t="s">
        <v>22</v>
      </c>
      <c r="B107" s="151" t="s">
        <v>9</v>
      </c>
      <c r="C107" s="93">
        <f>SUMIF($B$96:$B$105,"ปริญญาโท",C96:C105)</f>
        <v>1136</v>
      </c>
      <c r="D107" s="32">
        <f t="shared" ref="D107:D108" si="240">ROUND(C107/12,2)</f>
        <v>94.67</v>
      </c>
      <c r="E107" s="32">
        <f t="shared" ref="E107:E108" si="241">D107*1.8</f>
        <v>170.40600000000001</v>
      </c>
      <c r="F107" s="33"/>
      <c r="G107" s="93">
        <f>SUMIF($B$96:$B$105,"ปริญญาโท",G96:G105)</f>
        <v>978</v>
      </c>
      <c r="H107" s="32">
        <f t="shared" ref="H107:H108" si="242">ROUND(G107/12,2)</f>
        <v>81.5</v>
      </c>
      <c r="I107" s="32">
        <f t="shared" ref="I107:I108" si="243">H107*1.8</f>
        <v>146.70000000000002</v>
      </c>
      <c r="J107" s="33"/>
      <c r="K107" s="95">
        <f>SUMIF($B$96:$B$105,"ปริญญาโท",K96:K105)</f>
        <v>132</v>
      </c>
      <c r="L107" s="32">
        <f t="shared" ref="L107:L108" si="244">ROUND(K107/12,2)</f>
        <v>11</v>
      </c>
      <c r="M107" s="32">
        <f t="shared" ref="M107:M108" si="245">L107*1.8</f>
        <v>19.8</v>
      </c>
      <c r="N107" s="33"/>
      <c r="O107" s="136">
        <f t="shared" si="215"/>
        <v>2246</v>
      </c>
      <c r="P107" s="34">
        <f t="shared" ref="P107:P108" si="246">ROUND(O107/24,2)</f>
        <v>93.58</v>
      </c>
      <c r="Q107" s="34">
        <f t="shared" ref="Q107:Q108" si="247">P107*1.8</f>
        <v>168.44399999999999</v>
      </c>
      <c r="R107" s="23"/>
    </row>
    <row r="108" spans="1:18" ht="18.75" customHeight="1" thickBot="1" x14ac:dyDescent="0.4">
      <c r="A108" s="175" t="s">
        <v>22</v>
      </c>
      <c r="B108" s="152" t="s">
        <v>10</v>
      </c>
      <c r="C108" s="94">
        <f>SUMIF($B$96:$B$105,"ปริญญาเอก",C96:C105)</f>
        <v>186</v>
      </c>
      <c r="D108" s="35">
        <f t="shared" si="240"/>
        <v>15.5</v>
      </c>
      <c r="E108" s="35">
        <f t="shared" si="241"/>
        <v>27.900000000000002</v>
      </c>
      <c r="F108" s="36"/>
      <c r="G108" s="94">
        <f>SUMIF($B$96:$B$105,"ปริญญาเอก",G96:G105)</f>
        <v>84</v>
      </c>
      <c r="H108" s="35">
        <f t="shared" si="242"/>
        <v>7</v>
      </c>
      <c r="I108" s="35">
        <f t="shared" si="243"/>
        <v>12.6</v>
      </c>
      <c r="J108" s="36"/>
      <c r="K108" s="96">
        <f>SUMIF($B$96:$B$105,"ปริญญาเอก",K96:K105)</f>
        <v>84</v>
      </c>
      <c r="L108" s="35">
        <f t="shared" si="244"/>
        <v>7</v>
      </c>
      <c r="M108" s="35">
        <f t="shared" si="245"/>
        <v>12.6</v>
      </c>
      <c r="N108" s="36"/>
      <c r="O108" s="137">
        <f t="shared" si="215"/>
        <v>354</v>
      </c>
      <c r="P108" s="37">
        <f t="shared" si="246"/>
        <v>14.75</v>
      </c>
      <c r="Q108" s="37">
        <f t="shared" si="247"/>
        <v>26.55</v>
      </c>
      <c r="R108" s="27"/>
    </row>
    <row r="109" spans="1:18" ht="18.75" customHeight="1" x14ac:dyDescent="0.35">
      <c r="A109" s="148" t="s">
        <v>41</v>
      </c>
      <c r="B109" s="149"/>
      <c r="C109" s="80"/>
      <c r="D109" s="28"/>
      <c r="E109" s="28"/>
      <c r="F109" s="29"/>
      <c r="G109" s="79"/>
      <c r="H109" s="28"/>
      <c r="I109" s="28"/>
      <c r="J109" s="29"/>
      <c r="K109" s="80"/>
      <c r="L109" s="28"/>
      <c r="M109" s="28"/>
      <c r="N109" s="29"/>
      <c r="O109" s="66"/>
      <c r="P109" s="30"/>
      <c r="Q109" s="30"/>
      <c r="R109" s="31"/>
    </row>
    <row r="110" spans="1:18" ht="18.75" customHeight="1" x14ac:dyDescent="0.35">
      <c r="A110" s="145" t="s">
        <v>7</v>
      </c>
      <c r="B110" s="145" t="s">
        <v>8</v>
      </c>
      <c r="C110" s="140">
        <f>2120+119</f>
        <v>2239</v>
      </c>
      <c r="D110" s="20">
        <f>ROUND(C110/18,2)</f>
        <v>124.39</v>
      </c>
      <c r="E110" s="20"/>
      <c r="F110" s="21">
        <f>SUM(D110,E111:E112)</f>
        <v>204.39</v>
      </c>
      <c r="G110" s="81">
        <v>1424</v>
      </c>
      <c r="H110" s="20">
        <f>ROUND(G110/18,2)</f>
        <v>79.11</v>
      </c>
      <c r="I110" s="20"/>
      <c r="J110" s="21">
        <f>SUM(H110,I111:I112)</f>
        <v>139.11000000000001</v>
      </c>
      <c r="K110" s="140">
        <v>870</v>
      </c>
      <c r="L110" s="20">
        <f>ROUND(K110/18,2)</f>
        <v>48.33</v>
      </c>
      <c r="M110" s="20"/>
      <c r="N110" s="21">
        <f>SUM(L110,M111:M112)</f>
        <v>63.83</v>
      </c>
      <c r="O110" s="22">
        <f t="shared" ref="O110:O112" si="248">SUMIF($C$3:$N$3,"SCH",C110:N110)</f>
        <v>4533</v>
      </c>
      <c r="P110" s="22">
        <f>ROUND(O110/36,2)</f>
        <v>125.92</v>
      </c>
      <c r="Q110" s="22"/>
      <c r="R110" s="23">
        <f>SUM(P110,Q111:Q112)</f>
        <v>203.68</v>
      </c>
    </row>
    <row r="111" spans="1:18" ht="18.75" customHeight="1" x14ac:dyDescent="0.35">
      <c r="A111" s="176"/>
      <c r="B111" s="145" t="s">
        <v>9</v>
      </c>
      <c r="C111" s="140">
        <f>102+378</f>
        <v>480</v>
      </c>
      <c r="D111" s="20">
        <f t="shared" ref="D111:D112" si="249">ROUND(C111/12,2)</f>
        <v>40</v>
      </c>
      <c r="E111" s="20">
        <f t="shared" ref="E111:E112" si="250">D111*2</f>
        <v>80</v>
      </c>
      <c r="F111" s="21"/>
      <c r="G111" s="81">
        <v>360</v>
      </c>
      <c r="H111" s="20">
        <f t="shared" ref="H111:H112" si="251">ROUND(G111/12,2)</f>
        <v>30</v>
      </c>
      <c r="I111" s="20">
        <f t="shared" ref="I111:I112" si="252">H111*2</f>
        <v>60</v>
      </c>
      <c r="J111" s="21"/>
      <c r="K111" s="82">
        <v>93</v>
      </c>
      <c r="L111" s="20">
        <f t="shared" ref="L111:L112" si="253">ROUND(K111/12,2)</f>
        <v>7.75</v>
      </c>
      <c r="M111" s="20">
        <f t="shared" ref="M111:M112" si="254">L111*2</f>
        <v>15.5</v>
      </c>
      <c r="N111" s="21"/>
      <c r="O111" s="22">
        <f t="shared" si="248"/>
        <v>933</v>
      </c>
      <c r="P111" s="22">
        <f t="shared" ref="P111:P112" si="255">ROUND(O111/24,2)</f>
        <v>38.880000000000003</v>
      </c>
      <c r="Q111" s="22">
        <f t="shared" ref="Q111:Q112" si="256">P111*2</f>
        <v>77.760000000000005</v>
      </c>
      <c r="R111" s="23"/>
    </row>
    <row r="112" spans="1:18" ht="18.75" customHeight="1" thickBot="1" x14ac:dyDescent="0.4">
      <c r="A112" s="164"/>
      <c r="B112" s="146" t="s">
        <v>10</v>
      </c>
      <c r="C112" s="298"/>
      <c r="D112" s="24">
        <f t="shared" si="249"/>
        <v>0</v>
      </c>
      <c r="E112" s="24">
        <f t="shared" si="250"/>
        <v>0</v>
      </c>
      <c r="F112" s="25"/>
      <c r="G112" s="83"/>
      <c r="H112" s="24">
        <f t="shared" si="251"/>
        <v>0</v>
      </c>
      <c r="I112" s="24">
        <f t="shared" si="252"/>
        <v>0</v>
      </c>
      <c r="J112" s="25"/>
      <c r="K112" s="84"/>
      <c r="L112" s="24">
        <f t="shared" si="253"/>
        <v>0</v>
      </c>
      <c r="M112" s="24">
        <f t="shared" si="254"/>
        <v>0</v>
      </c>
      <c r="N112" s="25"/>
      <c r="O112" s="92">
        <f t="shared" si="248"/>
        <v>0</v>
      </c>
      <c r="P112" s="26">
        <f t="shared" si="255"/>
        <v>0</v>
      </c>
      <c r="Q112" s="26">
        <f t="shared" si="256"/>
        <v>0</v>
      </c>
      <c r="R112" s="27"/>
    </row>
    <row r="113" spans="1:18" ht="18.75" customHeight="1" x14ac:dyDescent="0.35">
      <c r="A113" s="148" t="s">
        <v>42</v>
      </c>
      <c r="B113" s="149"/>
      <c r="C113" s="268"/>
      <c r="D113" s="28"/>
      <c r="E113" s="28"/>
      <c r="F113" s="29"/>
      <c r="G113" s="79"/>
      <c r="H113" s="28"/>
      <c r="I113" s="28"/>
      <c r="J113" s="29"/>
      <c r="K113" s="80"/>
      <c r="L113" s="28"/>
      <c r="M113" s="28"/>
      <c r="N113" s="29"/>
      <c r="O113" s="66"/>
      <c r="P113" s="30"/>
      <c r="Q113" s="30"/>
      <c r="R113" s="31"/>
    </row>
    <row r="114" spans="1:18" ht="18.75" customHeight="1" x14ac:dyDescent="0.35">
      <c r="A114" s="145" t="s">
        <v>7</v>
      </c>
      <c r="B114" s="145" t="s">
        <v>8</v>
      </c>
      <c r="C114" s="140"/>
      <c r="D114" s="20">
        <f>ROUND(C114/18,2)</f>
        <v>0</v>
      </c>
      <c r="E114" s="20"/>
      <c r="F114" s="21">
        <f>SUM(D114,E115:E116)</f>
        <v>0</v>
      </c>
      <c r="G114" s="81">
        <v>1208</v>
      </c>
      <c r="H114" s="20">
        <f>ROUND(G114/18,2)</f>
        <v>67.11</v>
      </c>
      <c r="I114" s="20"/>
      <c r="J114" s="21">
        <f>SUM(H114,I115:I116)</f>
        <v>67.11</v>
      </c>
      <c r="K114" s="82"/>
      <c r="L114" s="20">
        <f>ROUND(K114/18,2)</f>
        <v>0</v>
      </c>
      <c r="M114" s="20"/>
      <c r="N114" s="21">
        <f>SUM(L114,M115:M116)</f>
        <v>0</v>
      </c>
      <c r="O114" s="22">
        <f t="shared" ref="O114:O116" si="257">SUMIF($C$3:$N$3,"SCH",C114:N114)</f>
        <v>1208</v>
      </c>
      <c r="P114" s="22">
        <f>ROUND(O114/36,2)</f>
        <v>33.56</v>
      </c>
      <c r="Q114" s="22"/>
      <c r="R114" s="23">
        <f>SUM(P114,Q115:Q116)</f>
        <v>33.56</v>
      </c>
    </row>
    <row r="115" spans="1:18" ht="18.75" customHeight="1" x14ac:dyDescent="0.35">
      <c r="A115" s="176"/>
      <c r="B115" s="145" t="s">
        <v>9</v>
      </c>
      <c r="C115" s="140"/>
      <c r="D115" s="20">
        <f t="shared" ref="D115:D116" si="258">ROUND(C115/12,2)</f>
        <v>0</v>
      </c>
      <c r="E115" s="20">
        <f t="shared" ref="E115:E116" si="259">D115*2</f>
        <v>0</v>
      </c>
      <c r="F115" s="21"/>
      <c r="G115" s="81"/>
      <c r="H115" s="20">
        <f t="shared" ref="H115:H116" si="260">ROUND(G115/12,2)</f>
        <v>0</v>
      </c>
      <c r="I115" s="20">
        <f t="shared" ref="I115:I116" si="261">H115*2</f>
        <v>0</v>
      </c>
      <c r="J115" s="21"/>
      <c r="K115" s="82"/>
      <c r="L115" s="20">
        <f t="shared" ref="L115:L116" si="262">ROUND(K115/12,2)</f>
        <v>0</v>
      </c>
      <c r="M115" s="20">
        <f t="shared" ref="M115:M116" si="263">L115*2</f>
        <v>0</v>
      </c>
      <c r="N115" s="21"/>
      <c r="O115" s="22">
        <f t="shared" si="257"/>
        <v>0</v>
      </c>
      <c r="P115" s="22">
        <f t="shared" ref="P115:P116" si="264">ROUND(O115/24,2)</f>
        <v>0</v>
      </c>
      <c r="Q115" s="22">
        <f t="shared" ref="Q115:Q116" si="265">P115*2</f>
        <v>0</v>
      </c>
      <c r="R115" s="23"/>
    </row>
    <row r="116" spans="1:18" ht="18.75" customHeight="1" thickBot="1" x14ac:dyDescent="0.4">
      <c r="A116" s="164"/>
      <c r="B116" s="146" t="s">
        <v>10</v>
      </c>
      <c r="C116" s="298"/>
      <c r="D116" s="24">
        <f t="shared" si="258"/>
        <v>0</v>
      </c>
      <c r="E116" s="24">
        <f t="shared" si="259"/>
        <v>0</v>
      </c>
      <c r="F116" s="25"/>
      <c r="G116" s="83"/>
      <c r="H116" s="24">
        <f t="shared" si="260"/>
        <v>0</v>
      </c>
      <c r="I116" s="24">
        <f t="shared" si="261"/>
        <v>0</v>
      </c>
      <c r="J116" s="25"/>
      <c r="K116" s="84"/>
      <c r="L116" s="24">
        <f t="shared" si="262"/>
        <v>0</v>
      </c>
      <c r="M116" s="24">
        <f t="shared" si="263"/>
        <v>0</v>
      </c>
      <c r="N116" s="25"/>
      <c r="O116" s="92">
        <f t="shared" si="257"/>
        <v>0</v>
      </c>
      <c r="P116" s="26">
        <f t="shared" si="264"/>
        <v>0</v>
      </c>
      <c r="Q116" s="26">
        <f t="shared" si="265"/>
        <v>0</v>
      </c>
      <c r="R116" s="27"/>
    </row>
    <row r="117" spans="1:18" ht="18.75" customHeight="1" x14ac:dyDescent="0.35">
      <c r="A117" s="148" t="s">
        <v>43</v>
      </c>
      <c r="B117" s="149"/>
      <c r="C117" s="268"/>
      <c r="D117" s="28"/>
      <c r="E117" s="28"/>
      <c r="F117" s="29"/>
      <c r="G117" s="79"/>
      <c r="H117" s="28"/>
      <c r="I117" s="28"/>
      <c r="J117" s="29"/>
      <c r="K117" s="80"/>
      <c r="L117" s="28"/>
      <c r="M117" s="28"/>
      <c r="N117" s="29"/>
      <c r="O117" s="30"/>
      <c r="P117" s="30"/>
      <c r="Q117" s="30"/>
      <c r="R117" s="31"/>
    </row>
    <row r="118" spans="1:18" ht="18.75" customHeight="1" x14ac:dyDescent="0.35">
      <c r="A118" s="145" t="s">
        <v>44</v>
      </c>
      <c r="B118" s="145" t="s">
        <v>8</v>
      </c>
      <c r="C118" s="140"/>
      <c r="D118" s="20">
        <f>ROUND(C118/18,2)</f>
        <v>0</v>
      </c>
      <c r="E118" s="20"/>
      <c r="F118" s="21">
        <f>SUM(D118,E119:E120)</f>
        <v>0</v>
      </c>
      <c r="G118" s="81"/>
      <c r="H118" s="20">
        <f>ROUND(G118/18,2)</f>
        <v>0</v>
      </c>
      <c r="I118" s="20"/>
      <c r="J118" s="21">
        <f>SUM(H118,I119:I120)</f>
        <v>0</v>
      </c>
      <c r="K118" s="82"/>
      <c r="L118" s="20">
        <f>ROUND(K118/18,2)</f>
        <v>0</v>
      </c>
      <c r="M118" s="20"/>
      <c r="N118" s="21">
        <f>SUM(L118,M119:M120)</f>
        <v>4.66</v>
      </c>
      <c r="O118" s="22">
        <f t="shared" ref="O118:O150" si="266">SUMIF($C$3:$N$3,"SCH",C118:N118)</f>
        <v>0</v>
      </c>
      <c r="P118" s="22">
        <f>ROUND(O118/36,2)</f>
        <v>0</v>
      </c>
      <c r="Q118" s="22"/>
      <c r="R118" s="23">
        <f>SUM(P118,Q119:Q120)</f>
        <v>2.34</v>
      </c>
    </row>
    <row r="119" spans="1:18" ht="18.75" customHeight="1" x14ac:dyDescent="0.35">
      <c r="A119" s="145"/>
      <c r="B119" s="145" t="s">
        <v>9</v>
      </c>
      <c r="C119" s="140"/>
      <c r="D119" s="20">
        <f t="shared" ref="D119:D120" si="267">ROUND(C119/12,2)</f>
        <v>0</v>
      </c>
      <c r="E119" s="20">
        <f t="shared" ref="E119:E120" si="268">D119*2</f>
        <v>0</v>
      </c>
      <c r="F119" s="21"/>
      <c r="G119" s="81"/>
      <c r="H119" s="20">
        <f t="shared" ref="H119:H120" si="269">ROUND(G119/12,2)</f>
        <v>0</v>
      </c>
      <c r="I119" s="20">
        <f t="shared" ref="I119:I120" si="270">H119*2</f>
        <v>0</v>
      </c>
      <c r="J119" s="21"/>
      <c r="K119" s="82">
        <v>28</v>
      </c>
      <c r="L119" s="20">
        <f t="shared" ref="L119:L120" si="271">ROUND(K119/12,2)</f>
        <v>2.33</v>
      </c>
      <c r="M119" s="20">
        <f t="shared" ref="M119:M120" si="272">L119*2</f>
        <v>4.66</v>
      </c>
      <c r="N119" s="21"/>
      <c r="O119" s="22">
        <f t="shared" si="266"/>
        <v>28</v>
      </c>
      <c r="P119" s="22">
        <f t="shared" ref="P119:P120" si="273">ROUND(O119/24,2)</f>
        <v>1.17</v>
      </c>
      <c r="Q119" s="22">
        <f t="shared" ref="Q119:Q120" si="274">P119*2</f>
        <v>2.34</v>
      </c>
      <c r="R119" s="23"/>
    </row>
    <row r="120" spans="1:18" ht="18.75" customHeight="1" x14ac:dyDescent="0.35">
      <c r="A120" s="145"/>
      <c r="B120" s="145" t="s">
        <v>10</v>
      </c>
      <c r="C120" s="140"/>
      <c r="D120" s="20">
        <f t="shared" si="267"/>
        <v>0</v>
      </c>
      <c r="E120" s="20">
        <f t="shared" si="268"/>
        <v>0</v>
      </c>
      <c r="F120" s="21"/>
      <c r="G120" s="81"/>
      <c r="H120" s="20">
        <f t="shared" si="269"/>
        <v>0</v>
      </c>
      <c r="I120" s="20">
        <f t="shared" si="270"/>
        <v>0</v>
      </c>
      <c r="J120" s="21"/>
      <c r="K120" s="82"/>
      <c r="L120" s="20">
        <f t="shared" si="271"/>
        <v>0</v>
      </c>
      <c r="M120" s="20">
        <f t="shared" si="272"/>
        <v>0</v>
      </c>
      <c r="N120" s="21"/>
      <c r="O120" s="22">
        <f t="shared" si="266"/>
        <v>0</v>
      </c>
      <c r="P120" s="22">
        <f t="shared" si="273"/>
        <v>0</v>
      </c>
      <c r="Q120" s="22">
        <f t="shared" si="274"/>
        <v>0</v>
      </c>
      <c r="R120" s="23"/>
    </row>
    <row r="121" spans="1:18" ht="18.75" customHeight="1" x14ac:dyDescent="0.35">
      <c r="A121" s="145" t="s">
        <v>45</v>
      </c>
      <c r="B121" s="145" t="s">
        <v>8</v>
      </c>
      <c r="C121" s="140"/>
      <c r="D121" s="20">
        <f>ROUND(C121/18,2)</f>
        <v>0</v>
      </c>
      <c r="E121" s="20"/>
      <c r="F121" s="21">
        <f>SUM(D121,E122:E123)</f>
        <v>0</v>
      </c>
      <c r="G121" s="81"/>
      <c r="H121" s="20">
        <f>ROUND(G121/18,2)</f>
        <v>0</v>
      </c>
      <c r="I121" s="20"/>
      <c r="J121" s="21">
        <f>SUM(H121,I122:I123)</f>
        <v>0</v>
      </c>
      <c r="K121" s="82"/>
      <c r="L121" s="20">
        <f>ROUND(K121/18,2)</f>
        <v>0</v>
      </c>
      <c r="M121" s="20"/>
      <c r="N121" s="21">
        <f>SUM(L121,M122:M123)</f>
        <v>0</v>
      </c>
      <c r="O121" s="22">
        <f t="shared" si="266"/>
        <v>0</v>
      </c>
      <c r="P121" s="22">
        <f>ROUND(O121/36,2)</f>
        <v>0</v>
      </c>
      <c r="Q121" s="22"/>
      <c r="R121" s="23">
        <f>SUM(P121,Q122:Q123)</f>
        <v>0</v>
      </c>
    </row>
    <row r="122" spans="1:18" ht="18.75" customHeight="1" x14ac:dyDescent="0.35">
      <c r="A122" s="145"/>
      <c r="B122" s="145" t="s">
        <v>9</v>
      </c>
      <c r="C122" s="140"/>
      <c r="D122" s="20">
        <f t="shared" ref="D122:D123" si="275">ROUND(C122/12,2)</f>
        <v>0</v>
      </c>
      <c r="E122" s="20">
        <f t="shared" ref="E122:E123" si="276">D122*2</f>
        <v>0</v>
      </c>
      <c r="F122" s="21"/>
      <c r="G122" s="81"/>
      <c r="H122" s="20">
        <f t="shared" ref="H122:H123" si="277">ROUND(G122/12,2)</f>
        <v>0</v>
      </c>
      <c r="I122" s="20">
        <f t="shared" ref="I122:I123" si="278">H122*2</f>
        <v>0</v>
      </c>
      <c r="J122" s="21"/>
      <c r="K122" s="82"/>
      <c r="L122" s="20">
        <f t="shared" ref="L122:L123" si="279">ROUND(K122/12,2)</f>
        <v>0</v>
      </c>
      <c r="M122" s="20">
        <f t="shared" ref="M122:M123" si="280">L122*2</f>
        <v>0</v>
      </c>
      <c r="N122" s="21"/>
      <c r="O122" s="22">
        <f t="shared" si="266"/>
        <v>0</v>
      </c>
      <c r="P122" s="22">
        <f t="shared" ref="P122:P123" si="281">ROUND(O122/24,2)</f>
        <v>0</v>
      </c>
      <c r="Q122" s="22">
        <f t="shared" ref="Q122:Q123" si="282">P122*2</f>
        <v>0</v>
      </c>
      <c r="R122" s="23"/>
    </row>
    <row r="123" spans="1:18" ht="18.75" customHeight="1" x14ac:dyDescent="0.35">
      <c r="A123" s="145"/>
      <c r="B123" s="145" t="s">
        <v>10</v>
      </c>
      <c r="C123" s="140"/>
      <c r="D123" s="20">
        <f t="shared" si="275"/>
        <v>0</v>
      </c>
      <c r="E123" s="20">
        <f t="shared" si="276"/>
        <v>0</v>
      </c>
      <c r="F123" s="21"/>
      <c r="G123" s="81"/>
      <c r="H123" s="20">
        <f t="shared" si="277"/>
        <v>0</v>
      </c>
      <c r="I123" s="20">
        <f t="shared" si="278"/>
        <v>0</v>
      </c>
      <c r="J123" s="21"/>
      <c r="K123" s="82"/>
      <c r="L123" s="20">
        <f t="shared" si="279"/>
        <v>0</v>
      </c>
      <c r="M123" s="20">
        <f t="shared" si="280"/>
        <v>0</v>
      </c>
      <c r="N123" s="21"/>
      <c r="O123" s="22">
        <f t="shared" si="266"/>
        <v>0</v>
      </c>
      <c r="P123" s="22">
        <f t="shared" si="281"/>
        <v>0</v>
      </c>
      <c r="Q123" s="22">
        <f t="shared" si="282"/>
        <v>0</v>
      </c>
      <c r="R123" s="23"/>
    </row>
    <row r="124" spans="1:18" ht="18.75" customHeight="1" x14ac:dyDescent="0.35">
      <c r="A124" s="145" t="s">
        <v>46</v>
      </c>
      <c r="B124" s="145" t="s">
        <v>8</v>
      </c>
      <c r="C124" s="140"/>
      <c r="D124" s="20">
        <f>ROUND(C124/18,2)</f>
        <v>0</v>
      </c>
      <c r="E124" s="20"/>
      <c r="F124" s="21">
        <f>SUM(D124,E125:E126)</f>
        <v>0</v>
      </c>
      <c r="G124" s="81"/>
      <c r="H124" s="20">
        <f>ROUND(G124/18,2)</f>
        <v>0</v>
      </c>
      <c r="I124" s="20"/>
      <c r="J124" s="21">
        <f>SUM(H124,I125:I126)</f>
        <v>0</v>
      </c>
      <c r="K124" s="82"/>
      <c r="L124" s="20">
        <f>ROUND(K124/18,2)</f>
        <v>0</v>
      </c>
      <c r="M124" s="20"/>
      <c r="N124" s="21">
        <f>SUM(L124,M125:M126)</f>
        <v>0</v>
      </c>
      <c r="O124" s="22">
        <f t="shared" si="266"/>
        <v>0</v>
      </c>
      <c r="P124" s="22">
        <f>ROUND(O124/36,2)</f>
        <v>0</v>
      </c>
      <c r="Q124" s="22"/>
      <c r="R124" s="23">
        <f>SUM(P124,Q125:Q126)</f>
        <v>0</v>
      </c>
    </row>
    <row r="125" spans="1:18" ht="18.75" customHeight="1" x14ac:dyDescent="0.35">
      <c r="A125" s="145"/>
      <c r="B125" s="145" t="s">
        <v>9</v>
      </c>
      <c r="C125" s="140"/>
      <c r="D125" s="20">
        <f t="shared" ref="D125:D126" si="283">ROUND(C125/12,2)</f>
        <v>0</v>
      </c>
      <c r="E125" s="20">
        <f t="shared" ref="E125:E126" si="284">D125*2</f>
        <v>0</v>
      </c>
      <c r="F125" s="21"/>
      <c r="G125" s="81"/>
      <c r="H125" s="20">
        <f t="shared" ref="H125:H126" si="285">ROUND(G125/12,2)</f>
        <v>0</v>
      </c>
      <c r="I125" s="20">
        <f t="shared" ref="I125:I126" si="286">H125*2</f>
        <v>0</v>
      </c>
      <c r="J125" s="21"/>
      <c r="K125" s="82"/>
      <c r="L125" s="20">
        <f t="shared" ref="L125:L126" si="287">ROUND(K125/12,2)</f>
        <v>0</v>
      </c>
      <c r="M125" s="20">
        <f t="shared" ref="M125:M126" si="288">L125*2</f>
        <v>0</v>
      </c>
      <c r="N125" s="21"/>
      <c r="O125" s="22">
        <f t="shared" si="266"/>
        <v>0</v>
      </c>
      <c r="P125" s="22">
        <f t="shared" ref="P125:P126" si="289">ROUND(O125/24,2)</f>
        <v>0</v>
      </c>
      <c r="Q125" s="22">
        <f t="shared" ref="Q125:Q126" si="290">P125*2</f>
        <v>0</v>
      </c>
      <c r="R125" s="23"/>
    </row>
    <row r="126" spans="1:18" ht="18.75" customHeight="1" x14ac:dyDescent="0.35">
      <c r="A126" s="145"/>
      <c r="B126" s="145" t="s">
        <v>10</v>
      </c>
      <c r="C126" s="140"/>
      <c r="D126" s="20">
        <f t="shared" si="283"/>
        <v>0</v>
      </c>
      <c r="E126" s="20">
        <f t="shared" si="284"/>
        <v>0</v>
      </c>
      <c r="F126" s="21"/>
      <c r="G126" s="81"/>
      <c r="H126" s="20">
        <f t="shared" si="285"/>
        <v>0</v>
      </c>
      <c r="I126" s="20">
        <f t="shared" si="286"/>
        <v>0</v>
      </c>
      <c r="J126" s="21"/>
      <c r="K126" s="82"/>
      <c r="L126" s="20">
        <f t="shared" si="287"/>
        <v>0</v>
      </c>
      <c r="M126" s="20">
        <f t="shared" si="288"/>
        <v>0</v>
      </c>
      <c r="N126" s="21"/>
      <c r="O126" s="22">
        <f t="shared" si="266"/>
        <v>0</v>
      </c>
      <c r="P126" s="22">
        <f t="shared" si="289"/>
        <v>0</v>
      </c>
      <c r="Q126" s="22">
        <f t="shared" si="290"/>
        <v>0</v>
      </c>
      <c r="R126" s="23"/>
    </row>
    <row r="127" spans="1:18" ht="18.75" customHeight="1" x14ac:dyDescent="0.35">
      <c r="A127" s="145" t="s">
        <v>47</v>
      </c>
      <c r="B127" s="145" t="s">
        <v>8</v>
      </c>
      <c r="C127" s="140"/>
      <c r="D127" s="20">
        <f>ROUND(C127/18,2)</f>
        <v>0</v>
      </c>
      <c r="E127" s="20"/>
      <c r="F127" s="21">
        <f>SUM(D127,E128:E129)</f>
        <v>0</v>
      </c>
      <c r="G127" s="81"/>
      <c r="H127" s="20">
        <f>ROUND(G127/18,2)</f>
        <v>0</v>
      </c>
      <c r="I127" s="20"/>
      <c r="J127" s="21">
        <f>SUM(H127,I128:I129)</f>
        <v>0</v>
      </c>
      <c r="K127" s="82"/>
      <c r="L127" s="20">
        <f>ROUND(K127/18,2)</f>
        <v>0</v>
      </c>
      <c r="M127" s="20"/>
      <c r="N127" s="21">
        <f>SUM(L127,M128:M129)</f>
        <v>0</v>
      </c>
      <c r="O127" s="22">
        <f t="shared" si="266"/>
        <v>0</v>
      </c>
      <c r="P127" s="22">
        <f>ROUND(O127/36,2)</f>
        <v>0</v>
      </c>
      <c r="Q127" s="22"/>
      <c r="R127" s="23">
        <f>SUM(P127,Q128:Q129)</f>
        <v>0</v>
      </c>
    </row>
    <row r="128" spans="1:18" ht="18.75" customHeight="1" x14ac:dyDescent="0.35">
      <c r="A128" s="145"/>
      <c r="B128" s="145" t="s">
        <v>9</v>
      </c>
      <c r="C128" s="140"/>
      <c r="D128" s="20">
        <f t="shared" ref="D128:D129" si="291">ROUND(C128/12,2)</f>
        <v>0</v>
      </c>
      <c r="E128" s="20">
        <f t="shared" ref="E128:E129" si="292">D128*2</f>
        <v>0</v>
      </c>
      <c r="F128" s="21"/>
      <c r="G128" s="81"/>
      <c r="H128" s="20">
        <f t="shared" ref="H128:H129" si="293">ROUND(G128/12,2)</f>
        <v>0</v>
      </c>
      <c r="I128" s="20">
        <f t="shared" ref="I128:I129" si="294">H128*2</f>
        <v>0</v>
      </c>
      <c r="J128" s="21"/>
      <c r="K128" s="82"/>
      <c r="L128" s="20">
        <f t="shared" ref="L128:L129" si="295">ROUND(K128/12,2)</f>
        <v>0</v>
      </c>
      <c r="M128" s="20">
        <f t="shared" ref="M128:M129" si="296">L128*2</f>
        <v>0</v>
      </c>
      <c r="N128" s="21"/>
      <c r="O128" s="22">
        <f t="shared" si="266"/>
        <v>0</v>
      </c>
      <c r="P128" s="22">
        <f t="shared" ref="P128:P129" si="297">ROUND(O128/24,2)</f>
        <v>0</v>
      </c>
      <c r="Q128" s="22">
        <f t="shared" ref="Q128:Q129" si="298">P128*2</f>
        <v>0</v>
      </c>
      <c r="R128" s="23"/>
    </row>
    <row r="129" spans="1:18" ht="18.75" customHeight="1" x14ac:dyDescent="0.35">
      <c r="A129" s="145"/>
      <c r="B129" s="145" t="s">
        <v>10</v>
      </c>
      <c r="C129" s="140"/>
      <c r="D129" s="20">
        <f t="shared" si="291"/>
        <v>0</v>
      </c>
      <c r="E129" s="20">
        <f t="shared" si="292"/>
        <v>0</v>
      </c>
      <c r="F129" s="21"/>
      <c r="G129" s="81"/>
      <c r="H129" s="20">
        <f t="shared" si="293"/>
        <v>0</v>
      </c>
      <c r="I129" s="20">
        <f t="shared" si="294"/>
        <v>0</v>
      </c>
      <c r="J129" s="21"/>
      <c r="K129" s="82"/>
      <c r="L129" s="20">
        <f t="shared" si="295"/>
        <v>0</v>
      </c>
      <c r="M129" s="20">
        <f t="shared" si="296"/>
        <v>0</v>
      </c>
      <c r="N129" s="21"/>
      <c r="O129" s="22">
        <f t="shared" si="266"/>
        <v>0</v>
      </c>
      <c r="P129" s="22">
        <f t="shared" si="297"/>
        <v>0</v>
      </c>
      <c r="Q129" s="22">
        <f t="shared" si="298"/>
        <v>0</v>
      </c>
      <c r="R129" s="23"/>
    </row>
    <row r="130" spans="1:18" ht="18.75" customHeight="1" x14ac:dyDescent="0.35">
      <c r="A130" s="145" t="s">
        <v>48</v>
      </c>
      <c r="B130" s="145" t="s">
        <v>8</v>
      </c>
      <c r="C130" s="140"/>
      <c r="D130" s="20">
        <f>ROUND(C130/18,2)</f>
        <v>0</v>
      </c>
      <c r="E130" s="20"/>
      <c r="F130" s="21">
        <f>SUM(D130,E131:E132)</f>
        <v>0</v>
      </c>
      <c r="G130" s="81"/>
      <c r="H130" s="20">
        <f>ROUND(G130/18,2)</f>
        <v>0</v>
      </c>
      <c r="I130" s="20"/>
      <c r="J130" s="21">
        <f>SUM(H130,I131:I132)</f>
        <v>0</v>
      </c>
      <c r="K130" s="82"/>
      <c r="L130" s="20">
        <f>ROUND(K130/18,2)</f>
        <v>0</v>
      </c>
      <c r="M130" s="20"/>
      <c r="N130" s="21">
        <f>SUM(L130,M131:M132)</f>
        <v>2.16</v>
      </c>
      <c r="O130" s="22">
        <f t="shared" si="266"/>
        <v>0</v>
      </c>
      <c r="P130" s="22">
        <f>ROUND(O130/36,2)</f>
        <v>0</v>
      </c>
      <c r="Q130" s="22"/>
      <c r="R130" s="23">
        <f>SUM(P130,Q131:Q132)</f>
        <v>1.08</v>
      </c>
    </row>
    <row r="131" spans="1:18" ht="18.75" customHeight="1" x14ac:dyDescent="0.35">
      <c r="A131" s="145"/>
      <c r="B131" s="145" t="s">
        <v>9</v>
      </c>
      <c r="C131" s="140"/>
      <c r="D131" s="20">
        <f t="shared" ref="D131:D132" si="299">ROUND(C131/12,2)</f>
        <v>0</v>
      </c>
      <c r="E131" s="20">
        <f t="shared" ref="E131:E132" si="300">D131*2</f>
        <v>0</v>
      </c>
      <c r="F131" s="21"/>
      <c r="G131" s="81"/>
      <c r="H131" s="20">
        <f t="shared" ref="H131:H132" si="301">ROUND(G131/12,2)</f>
        <v>0</v>
      </c>
      <c r="I131" s="20">
        <f t="shared" ref="I131:I132" si="302">H131*2</f>
        <v>0</v>
      </c>
      <c r="J131" s="21"/>
      <c r="K131" s="82">
        <v>13</v>
      </c>
      <c r="L131" s="20">
        <f t="shared" ref="L131:L132" si="303">ROUND(K131/12,2)</f>
        <v>1.08</v>
      </c>
      <c r="M131" s="20">
        <f t="shared" ref="M131:M132" si="304">L131*2</f>
        <v>2.16</v>
      </c>
      <c r="N131" s="21"/>
      <c r="O131" s="22">
        <f t="shared" si="266"/>
        <v>13</v>
      </c>
      <c r="P131" s="22">
        <f t="shared" ref="P131:P132" si="305">ROUND(O131/24,2)</f>
        <v>0.54</v>
      </c>
      <c r="Q131" s="22">
        <f t="shared" ref="Q131:Q132" si="306">P131*2</f>
        <v>1.08</v>
      </c>
      <c r="R131" s="23"/>
    </row>
    <row r="132" spans="1:18" ht="18.75" customHeight="1" x14ac:dyDescent="0.35">
      <c r="A132" s="145"/>
      <c r="B132" s="145" t="s">
        <v>10</v>
      </c>
      <c r="C132" s="140"/>
      <c r="D132" s="20">
        <f t="shared" si="299"/>
        <v>0</v>
      </c>
      <c r="E132" s="20">
        <f t="shared" si="300"/>
        <v>0</v>
      </c>
      <c r="F132" s="21"/>
      <c r="G132" s="81"/>
      <c r="H132" s="20">
        <f t="shared" si="301"/>
        <v>0</v>
      </c>
      <c r="I132" s="20">
        <f t="shared" si="302"/>
        <v>0</v>
      </c>
      <c r="J132" s="21"/>
      <c r="K132" s="82"/>
      <c r="L132" s="20">
        <f t="shared" si="303"/>
        <v>0</v>
      </c>
      <c r="M132" s="20">
        <f t="shared" si="304"/>
        <v>0</v>
      </c>
      <c r="N132" s="21"/>
      <c r="O132" s="22">
        <f t="shared" si="266"/>
        <v>0</v>
      </c>
      <c r="P132" s="22">
        <f t="shared" si="305"/>
        <v>0</v>
      </c>
      <c r="Q132" s="22">
        <f t="shared" si="306"/>
        <v>0</v>
      </c>
      <c r="R132" s="23"/>
    </row>
    <row r="133" spans="1:18" ht="18.75" customHeight="1" x14ac:dyDescent="0.35">
      <c r="A133" s="145" t="s">
        <v>49</v>
      </c>
      <c r="B133" s="145" t="s">
        <v>8</v>
      </c>
      <c r="C133" s="140"/>
      <c r="D133" s="20">
        <f>ROUND(C133/18,2)</f>
        <v>0</v>
      </c>
      <c r="E133" s="20"/>
      <c r="F133" s="21">
        <f>SUM(D133,E134:E135)</f>
        <v>0</v>
      </c>
      <c r="G133" s="81"/>
      <c r="H133" s="20">
        <f>ROUND(G133/18,2)</f>
        <v>0</v>
      </c>
      <c r="I133" s="20"/>
      <c r="J133" s="21">
        <f>SUM(H133,I134:I135)</f>
        <v>0</v>
      </c>
      <c r="K133" s="82"/>
      <c r="L133" s="20">
        <f>ROUND(K133/18,2)</f>
        <v>0</v>
      </c>
      <c r="M133" s="20"/>
      <c r="N133" s="21">
        <f>SUM(L133,M134:M135)</f>
        <v>0</v>
      </c>
      <c r="O133" s="22">
        <f t="shared" si="266"/>
        <v>0</v>
      </c>
      <c r="P133" s="22">
        <f>ROUND(O133/36,2)</f>
        <v>0</v>
      </c>
      <c r="Q133" s="22"/>
      <c r="R133" s="23">
        <f>SUM(P133,Q134:Q135)</f>
        <v>0</v>
      </c>
    </row>
    <row r="134" spans="1:18" ht="18.75" customHeight="1" x14ac:dyDescent="0.35">
      <c r="A134" s="145"/>
      <c r="B134" s="145" t="s">
        <v>9</v>
      </c>
      <c r="C134" s="140"/>
      <c r="D134" s="20">
        <f t="shared" ref="D134:D135" si="307">ROUND(C134/12,2)</f>
        <v>0</v>
      </c>
      <c r="E134" s="20">
        <f t="shared" ref="E134:E135" si="308">D134*2</f>
        <v>0</v>
      </c>
      <c r="F134" s="21"/>
      <c r="G134" s="81"/>
      <c r="H134" s="20">
        <f t="shared" ref="H134:H135" si="309">ROUND(G134/12,2)</f>
        <v>0</v>
      </c>
      <c r="I134" s="20">
        <f t="shared" ref="I134:I135" si="310">H134*2</f>
        <v>0</v>
      </c>
      <c r="J134" s="21"/>
      <c r="K134" s="82"/>
      <c r="L134" s="20">
        <f t="shared" ref="L134:L135" si="311">ROUND(K134/12,2)</f>
        <v>0</v>
      </c>
      <c r="M134" s="20">
        <f t="shared" ref="M134:M135" si="312">L134*2</f>
        <v>0</v>
      </c>
      <c r="N134" s="21"/>
      <c r="O134" s="22">
        <f t="shared" si="266"/>
        <v>0</v>
      </c>
      <c r="P134" s="22">
        <f t="shared" ref="P134:P135" si="313">ROUND(O134/24,2)</f>
        <v>0</v>
      </c>
      <c r="Q134" s="22">
        <f t="shared" ref="Q134:Q135" si="314">P134*2</f>
        <v>0</v>
      </c>
      <c r="R134" s="23"/>
    </row>
    <row r="135" spans="1:18" ht="18.75" customHeight="1" x14ac:dyDescent="0.35">
      <c r="A135" s="145"/>
      <c r="B135" s="145" t="s">
        <v>10</v>
      </c>
      <c r="C135" s="140"/>
      <c r="D135" s="20">
        <f t="shared" si="307"/>
        <v>0</v>
      </c>
      <c r="E135" s="20">
        <f t="shared" si="308"/>
        <v>0</v>
      </c>
      <c r="F135" s="21"/>
      <c r="G135" s="81"/>
      <c r="H135" s="20">
        <f t="shared" si="309"/>
        <v>0</v>
      </c>
      <c r="I135" s="20">
        <f t="shared" si="310"/>
        <v>0</v>
      </c>
      <c r="J135" s="21"/>
      <c r="K135" s="82"/>
      <c r="L135" s="20">
        <f t="shared" si="311"/>
        <v>0</v>
      </c>
      <c r="M135" s="20">
        <f t="shared" si="312"/>
        <v>0</v>
      </c>
      <c r="N135" s="21"/>
      <c r="O135" s="22">
        <f t="shared" si="266"/>
        <v>0</v>
      </c>
      <c r="P135" s="22">
        <f t="shared" si="313"/>
        <v>0</v>
      </c>
      <c r="Q135" s="22">
        <f t="shared" si="314"/>
        <v>0</v>
      </c>
      <c r="R135" s="23"/>
    </row>
    <row r="136" spans="1:18" ht="18.75" customHeight="1" x14ac:dyDescent="0.35">
      <c r="A136" s="145" t="s">
        <v>50</v>
      </c>
      <c r="B136" s="145" t="s">
        <v>8</v>
      </c>
      <c r="C136" s="140"/>
      <c r="D136" s="20">
        <f>ROUND(C136/18,2)</f>
        <v>0</v>
      </c>
      <c r="E136" s="20"/>
      <c r="F136" s="21">
        <f>SUM(D136,E137:E138)</f>
        <v>1</v>
      </c>
      <c r="G136" s="81"/>
      <c r="H136" s="20">
        <f>ROUND(G136/18,2)</f>
        <v>0</v>
      </c>
      <c r="I136" s="20"/>
      <c r="J136" s="21">
        <f>SUM(H136,I137:I138)</f>
        <v>1.5</v>
      </c>
      <c r="K136" s="82"/>
      <c r="L136" s="20">
        <f>ROUND(K136/18,2)</f>
        <v>0</v>
      </c>
      <c r="M136" s="20"/>
      <c r="N136" s="21">
        <f>SUM(L136,M137:M138)</f>
        <v>3.16</v>
      </c>
      <c r="O136" s="22">
        <f t="shared" si="266"/>
        <v>0</v>
      </c>
      <c r="P136" s="22">
        <f>ROUND(O136/36,2)</f>
        <v>0</v>
      </c>
      <c r="Q136" s="22"/>
      <c r="R136" s="23">
        <f>SUM(P136,Q137:Q138)</f>
        <v>2.84</v>
      </c>
    </row>
    <row r="137" spans="1:18" ht="18.75" customHeight="1" x14ac:dyDescent="0.35">
      <c r="A137" s="145"/>
      <c r="B137" s="145" t="s">
        <v>9</v>
      </c>
      <c r="C137" s="140">
        <v>6</v>
      </c>
      <c r="D137" s="20">
        <f t="shared" ref="D137:D138" si="315">ROUND(C137/12,2)</f>
        <v>0.5</v>
      </c>
      <c r="E137" s="20">
        <f t="shared" ref="E137:E138" si="316">D137*2</f>
        <v>1</v>
      </c>
      <c r="F137" s="21"/>
      <c r="G137" s="81">
        <v>9</v>
      </c>
      <c r="H137" s="20">
        <f t="shared" ref="H137:H138" si="317">ROUND(G137/12,2)</f>
        <v>0.75</v>
      </c>
      <c r="I137" s="20">
        <f t="shared" ref="I137:I138" si="318">H137*2</f>
        <v>1.5</v>
      </c>
      <c r="J137" s="21"/>
      <c r="K137" s="82">
        <v>19</v>
      </c>
      <c r="L137" s="20">
        <f t="shared" ref="L137:L138" si="319">ROUND(K137/12,2)</f>
        <v>1.58</v>
      </c>
      <c r="M137" s="20">
        <f t="shared" ref="M137:M138" si="320">L137*2</f>
        <v>3.16</v>
      </c>
      <c r="N137" s="21"/>
      <c r="O137" s="22">
        <f t="shared" si="266"/>
        <v>34</v>
      </c>
      <c r="P137" s="22">
        <f t="shared" ref="P137:P138" si="321">ROUND(O137/24,2)</f>
        <v>1.42</v>
      </c>
      <c r="Q137" s="22">
        <f t="shared" ref="Q137:Q138" si="322">P137*2</f>
        <v>2.84</v>
      </c>
      <c r="R137" s="23"/>
    </row>
    <row r="138" spans="1:18" ht="18.75" customHeight="1" x14ac:dyDescent="0.35">
      <c r="A138" s="145"/>
      <c r="B138" s="145" t="s">
        <v>10</v>
      </c>
      <c r="C138" s="140"/>
      <c r="D138" s="20">
        <f t="shared" si="315"/>
        <v>0</v>
      </c>
      <c r="E138" s="20">
        <f t="shared" si="316"/>
        <v>0</v>
      </c>
      <c r="F138" s="21"/>
      <c r="G138" s="81"/>
      <c r="H138" s="20">
        <f t="shared" si="317"/>
        <v>0</v>
      </c>
      <c r="I138" s="20">
        <f t="shared" si="318"/>
        <v>0</v>
      </c>
      <c r="J138" s="21"/>
      <c r="K138" s="82"/>
      <c r="L138" s="20">
        <f t="shared" si="319"/>
        <v>0</v>
      </c>
      <c r="M138" s="20">
        <f t="shared" si="320"/>
        <v>0</v>
      </c>
      <c r="N138" s="21"/>
      <c r="O138" s="22">
        <f t="shared" si="266"/>
        <v>0</v>
      </c>
      <c r="P138" s="22">
        <f t="shared" si="321"/>
        <v>0</v>
      </c>
      <c r="Q138" s="22">
        <f t="shared" si="322"/>
        <v>0</v>
      </c>
      <c r="R138" s="23"/>
    </row>
    <row r="139" spans="1:18" ht="18.75" customHeight="1" x14ac:dyDescent="0.35">
      <c r="A139" s="145" t="s">
        <v>51</v>
      </c>
      <c r="B139" s="145" t="s">
        <v>8</v>
      </c>
      <c r="C139" s="140"/>
      <c r="D139" s="20">
        <f>ROUND(C139/18,2)</f>
        <v>0</v>
      </c>
      <c r="E139" s="20"/>
      <c r="F139" s="21">
        <f>SUM(D139,E140:E141)</f>
        <v>0</v>
      </c>
      <c r="G139" s="81"/>
      <c r="H139" s="20">
        <f>ROUND(G139/18,2)</f>
        <v>0</v>
      </c>
      <c r="I139" s="20"/>
      <c r="J139" s="21">
        <f>SUM(H139,I140:I141)</f>
        <v>0</v>
      </c>
      <c r="K139" s="82"/>
      <c r="L139" s="20">
        <f>ROUND(K139/18,2)</f>
        <v>0</v>
      </c>
      <c r="M139" s="20"/>
      <c r="N139" s="21">
        <f>SUM(L139,M140:M141)</f>
        <v>0</v>
      </c>
      <c r="O139" s="22">
        <f t="shared" si="266"/>
        <v>0</v>
      </c>
      <c r="P139" s="22">
        <f>ROUND(O139/36,2)</f>
        <v>0</v>
      </c>
      <c r="Q139" s="22"/>
      <c r="R139" s="23">
        <f>SUM(P139,Q140:Q141)</f>
        <v>0</v>
      </c>
    </row>
    <row r="140" spans="1:18" ht="18.75" customHeight="1" x14ac:dyDescent="0.35">
      <c r="A140" s="145"/>
      <c r="B140" s="145" t="s">
        <v>9</v>
      </c>
      <c r="C140" s="140"/>
      <c r="D140" s="20">
        <f t="shared" ref="D140:D141" si="323">ROUND(C140/12,2)</f>
        <v>0</v>
      </c>
      <c r="E140" s="20">
        <f t="shared" ref="E140:E141" si="324">D140*2</f>
        <v>0</v>
      </c>
      <c r="F140" s="21"/>
      <c r="G140" s="81"/>
      <c r="H140" s="20">
        <f t="shared" ref="H140:H141" si="325">ROUND(G140/12,2)</f>
        <v>0</v>
      </c>
      <c r="I140" s="20">
        <f t="shared" ref="I140:I141" si="326">H140*2</f>
        <v>0</v>
      </c>
      <c r="J140" s="21"/>
      <c r="K140" s="82"/>
      <c r="L140" s="20">
        <f t="shared" ref="L140:L141" si="327">ROUND(K140/12,2)</f>
        <v>0</v>
      </c>
      <c r="M140" s="20">
        <f t="shared" ref="M140:M141" si="328">L140*2</f>
        <v>0</v>
      </c>
      <c r="N140" s="21"/>
      <c r="O140" s="22">
        <f t="shared" si="266"/>
        <v>0</v>
      </c>
      <c r="P140" s="22">
        <f t="shared" ref="P140:P141" si="329">ROUND(O140/24,2)</f>
        <v>0</v>
      </c>
      <c r="Q140" s="22">
        <f t="shared" ref="Q140:Q141" si="330">P140*2</f>
        <v>0</v>
      </c>
      <c r="R140" s="23"/>
    </row>
    <row r="141" spans="1:18" ht="18.75" customHeight="1" x14ac:dyDescent="0.35">
      <c r="A141" s="145"/>
      <c r="B141" s="145" t="s">
        <v>10</v>
      </c>
      <c r="C141" s="140"/>
      <c r="D141" s="20">
        <f t="shared" si="323"/>
        <v>0</v>
      </c>
      <c r="E141" s="20">
        <f t="shared" si="324"/>
        <v>0</v>
      </c>
      <c r="F141" s="21"/>
      <c r="G141" s="81"/>
      <c r="H141" s="20">
        <f t="shared" si="325"/>
        <v>0</v>
      </c>
      <c r="I141" s="20">
        <f t="shared" si="326"/>
        <v>0</v>
      </c>
      <c r="J141" s="21"/>
      <c r="K141" s="82"/>
      <c r="L141" s="20">
        <f t="shared" si="327"/>
        <v>0</v>
      </c>
      <c r="M141" s="20">
        <f t="shared" si="328"/>
        <v>0</v>
      </c>
      <c r="N141" s="21"/>
      <c r="O141" s="22">
        <f t="shared" si="266"/>
        <v>0</v>
      </c>
      <c r="P141" s="22">
        <f t="shared" si="329"/>
        <v>0</v>
      </c>
      <c r="Q141" s="22">
        <f t="shared" si="330"/>
        <v>0</v>
      </c>
      <c r="R141" s="23"/>
    </row>
    <row r="142" spans="1:18" ht="18.75" customHeight="1" x14ac:dyDescent="0.35">
      <c r="A142" s="145" t="s">
        <v>52</v>
      </c>
      <c r="B142" s="145" t="s">
        <v>8</v>
      </c>
      <c r="C142" s="20">
        <v>755.25</v>
      </c>
      <c r="D142" s="20">
        <f>ROUND(C142/18,2)</f>
        <v>41.96</v>
      </c>
      <c r="E142" s="20"/>
      <c r="F142" s="21">
        <f>SUM(D142,E143:E144)</f>
        <v>42.96</v>
      </c>
      <c r="G142" s="81">
        <v>1708</v>
      </c>
      <c r="H142" s="20">
        <f>ROUND(G142/18,2)</f>
        <v>94.89</v>
      </c>
      <c r="I142" s="20"/>
      <c r="J142" s="21">
        <f>SUM(H142,I143:I144)</f>
        <v>94.89</v>
      </c>
      <c r="K142" s="82"/>
      <c r="L142" s="20">
        <f>ROUND(K142/18,2)</f>
        <v>0</v>
      </c>
      <c r="M142" s="20"/>
      <c r="N142" s="21">
        <f>SUM(L142,M143:M144)</f>
        <v>0</v>
      </c>
      <c r="O142" s="22">
        <f t="shared" si="266"/>
        <v>2463.25</v>
      </c>
      <c r="P142" s="22">
        <f>ROUND(O142/36,2)</f>
        <v>68.42</v>
      </c>
      <c r="Q142" s="22"/>
      <c r="R142" s="23">
        <f>SUM(P142,Q143:Q144)</f>
        <v>68.92</v>
      </c>
    </row>
    <row r="143" spans="1:18" ht="18.75" customHeight="1" x14ac:dyDescent="0.35">
      <c r="A143" s="145"/>
      <c r="B143" s="145" t="s">
        <v>9</v>
      </c>
      <c r="C143" s="140">
        <v>6</v>
      </c>
      <c r="D143" s="20">
        <f t="shared" ref="D143:D144" si="331">ROUND(C143/12,2)</f>
        <v>0.5</v>
      </c>
      <c r="E143" s="20">
        <f t="shared" ref="E143:E144" si="332">D143*2</f>
        <v>1</v>
      </c>
      <c r="F143" s="21"/>
      <c r="G143" s="81"/>
      <c r="H143" s="20">
        <f t="shared" ref="H143:H144" si="333">ROUND(G143/12,2)</f>
        <v>0</v>
      </c>
      <c r="I143" s="20">
        <f t="shared" ref="I143:I144" si="334">H143*2</f>
        <v>0</v>
      </c>
      <c r="J143" s="21"/>
      <c r="K143" s="82"/>
      <c r="L143" s="20">
        <f t="shared" ref="L143:L144" si="335">ROUND(K143/12,2)</f>
        <v>0</v>
      </c>
      <c r="M143" s="20">
        <f t="shared" ref="M143:M144" si="336">L143*2</f>
        <v>0</v>
      </c>
      <c r="N143" s="21"/>
      <c r="O143" s="22">
        <f t="shared" si="266"/>
        <v>6</v>
      </c>
      <c r="P143" s="22">
        <f t="shared" ref="P143:P144" si="337">ROUND(O143/24,2)</f>
        <v>0.25</v>
      </c>
      <c r="Q143" s="22">
        <f t="shared" ref="Q143:Q144" si="338">P143*2</f>
        <v>0.5</v>
      </c>
      <c r="R143" s="23"/>
    </row>
    <row r="144" spans="1:18" ht="18.75" customHeight="1" x14ac:dyDescent="0.35">
      <c r="A144" s="145"/>
      <c r="B144" s="145" t="s">
        <v>10</v>
      </c>
      <c r="C144" s="140"/>
      <c r="D144" s="20">
        <f t="shared" si="331"/>
        <v>0</v>
      </c>
      <c r="E144" s="20">
        <f t="shared" si="332"/>
        <v>0</v>
      </c>
      <c r="F144" s="21"/>
      <c r="G144" s="81"/>
      <c r="H144" s="20">
        <f t="shared" si="333"/>
        <v>0</v>
      </c>
      <c r="I144" s="20">
        <f t="shared" si="334"/>
        <v>0</v>
      </c>
      <c r="J144" s="21"/>
      <c r="K144" s="82"/>
      <c r="L144" s="20">
        <f t="shared" si="335"/>
        <v>0</v>
      </c>
      <c r="M144" s="20">
        <f t="shared" si="336"/>
        <v>0</v>
      </c>
      <c r="N144" s="21"/>
      <c r="O144" s="22">
        <f t="shared" si="266"/>
        <v>0</v>
      </c>
      <c r="P144" s="22">
        <f t="shared" si="337"/>
        <v>0</v>
      </c>
      <c r="Q144" s="22">
        <f t="shared" si="338"/>
        <v>0</v>
      </c>
      <c r="R144" s="23"/>
    </row>
    <row r="145" spans="1:18" ht="18.75" customHeight="1" x14ac:dyDescent="0.35">
      <c r="A145" s="145" t="s">
        <v>53</v>
      </c>
      <c r="B145" s="145" t="s">
        <v>8</v>
      </c>
      <c r="C145" s="20">
        <v>66.5</v>
      </c>
      <c r="D145" s="20">
        <f>ROUND(C145/18,2)</f>
        <v>3.69</v>
      </c>
      <c r="E145" s="20"/>
      <c r="F145" s="21">
        <f>SUM(D145,E146:E147)</f>
        <v>3.69</v>
      </c>
      <c r="G145" s="81">
        <v>239</v>
      </c>
      <c r="H145" s="20">
        <f>ROUND(G145/18,2)</f>
        <v>13.28</v>
      </c>
      <c r="I145" s="20"/>
      <c r="J145" s="21">
        <f>SUM(H145,I146:I147)</f>
        <v>13.28</v>
      </c>
      <c r="K145" s="82"/>
      <c r="L145" s="20">
        <f>ROUND(K145/18,2)</f>
        <v>0</v>
      </c>
      <c r="M145" s="20"/>
      <c r="N145" s="21">
        <f>SUM(L145,M146:M147)</f>
        <v>0</v>
      </c>
      <c r="O145" s="22">
        <f t="shared" si="266"/>
        <v>305.5</v>
      </c>
      <c r="P145" s="22">
        <f>ROUND(O145/36,2)</f>
        <v>8.49</v>
      </c>
      <c r="Q145" s="22"/>
      <c r="R145" s="23">
        <f>SUM(P145,Q146:Q147)</f>
        <v>8.49</v>
      </c>
    </row>
    <row r="146" spans="1:18" ht="18.75" customHeight="1" x14ac:dyDescent="0.35">
      <c r="A146" s="145"/>
      <c r="B146" s="145" t="s">
        <v>9</v>
      </c>
      <c r="C146" s="140"/>
      <c r="D146" s="20">
        <f t="shared" ref="D146:D147" si="339">ROUND(C146/12,2)</f>
        <v>0</v>
      </c>
      <c r="E146" s="20">
        <f t="shared" ref="E146:E147" si="340">D146*2</f>
        <v>0</v>
      </c>
      <c r="F146" s="21"/>
      <c r="G146" s="81"/>
      <c r="H146" s="20">
        <f t="shared" ref="H146:H147" si="341">ROUND(G146/12,2)</f>
        <v>0</v>
      </c>
      <c r="I146" s="20">
        <f t="shared" ref="I146:I147" si="342">H146*2</f>
        <v>0</v>
      </c>
      <c r="J146" s="21"/>
      <c r="K146" s="82"/>
      <c r="L146" s="20">
        <f t="shared" ref="L146:L147" si="343">ROUND(K146/12,2)</f>
        <v>0</v>
      </c>
      <c r="M146" s="20">
        <f t="shared" ref="M146:M147" si="344">L146*2</f>
        <v>0</v>
      </c>
      <c r="N146" s="21"/>
      <c r="O146" s="22">
        <f t="shared" si="266"/>
        <v>0</v>
      </c>
      <c r="P146" s="22">
        <f t="shared" ref="P146:P147" si="345">ROUND(O146/24,2)</f>
        <v>0</v>
      </c>
      <c r="Q146" s="22">
        <f t="shared" ref="Q146:Q147" si="346">P146*2</f>
        <v>0</v>
      </c>
      <c r="R146" s="23"/>
    </row>
    <row r="147" spans="1:18" ht="18.75" customHeight="1" x14ac:dyDescent="0.35">
      <c r="A147" s="145"/>
      <c r="B147" s="145" t="s">
        <v>10</v>
      </c>
      <c r="C147" s="140"/>
      <c r="D147" s="20">
        <f t="shared" si="339"/>
        <v>0</v>
      </c>
      <c r="E147" s="20">
        <f t="shared" si="340"/>
        <v>0</v>
      </c>
      <c r="F147" s="21"/>
      <c r="G147" s="81"/>
      <c r="H147" s="20">
        <f t="shared" si="341"/>
        <v>0</v>
      </c>
      <c r="I147" s="20">
        <f t="shared" si="342"/>
        <v>0</v>
      </c>
      <c r="J147" s="21"/>
      <c r="K147" s="82"/>
      <c r="L147" s="20">
        <f t="shared" si="343"/>
        <v>0</v>
      </c>
      <c r="M147" s="20">
        <f t="shared" si="344"/>
        <v>0</v>
      </c>
      <c r="N147" s="21"/>
      <c r="O147" s="22">
        <f t="shared" si="266"/>
        <v>0</v>
      </c>
      <c r="P147" s="22">
        <f t="shared" si="345"/>
        <v>0</v>
      </c>
      <c r="Q147" s="22">
        <f t="shared" si="346"/>
        <v>0</v>
      </c>
      <c r="R147" s="23"/>
    </row>
    <row r="148" spans="1:18" ht="18.75" customHeight="1" x14ac:dyDescent="0.35">
      <c r="A148" s="173" t="s">
        <v>22</v>
      </c>
      <c r="B148" s="151" t="s">
        <v>8</v>
      </c>
      <c r="C148" s="93">
        <f>SUMIF($B$117:$B$147,"ปริญญาตรี",C117:C147)</f>
        <v>821.75</v>
      </c>
      <c r="D148" s="32">
        <f>ROUND(C148/18,2)</f>
        <v>45.65</v>
      </c>
      <c r="E148" s="32"/>
      <c r="F148" s="33">
        <f>SUM(D148,E149:E150)</f>
        <v>47.65</v>
      </c>
      <c r="G148" s="93">
        <f>SUMIF($B$117:$B$147,"ปริญญาตรี",G117:G147)</f>
        <v>1947</v>
      </c>
      <c r="H148" s="32">
        <f>ROUND(G148/18,2)</f>
        <v>108.17</v>
      </c>
      <c r="I148" s="32"/>
      <c r="J148" s="33">
        <f>SUM(H148,I149:I150)</f>
        <v>109.67</v>
      </c>
      <c r="K148" s="93">
        <f>SUMIF($B$117:$B$147,"ปริญญาตรี",K117:K147)</f>
        <v>0</v>
      </c>
      <c r="L148" s="32">
        <f>ROUND(K148/18,2)</f>
        <v>0</v>
      </c>
      <c r="M148" s="32"/>
      <c r="N148" s="33">
        <f>SUM(L148,M149:M150)</f>
        <v>10</v>
      </c>
      <c r="O148" s="136">
        <f t="shared" si="266"/>
        <v>2768.75</v>
      </c>
      <c r="P148" s="34">
        <f>ROUND(O148/36,2)</f>
        <v>76.91</v>
      </c>
      <c r="Q148" s="34"/>
      <c r="R148" s="23">
        <f>SUM(P148,Q149:Q150)</f>
        <v>83.67</v>
      </c>
    </row>
    <row r="149" spans="1:18" ht="18.75" customHeight="1" x14ac:dyDescent="0.35">
      <c r="A149" s="174" t="s">
        <v>22</v>
      </c>
      <c r="B149" s="151" t="s">
        <v>9</v>
      </c>
      <c r="C149" s="93">
        <f>SUMIF($B$117:$B$147,"ปริญญาโท",C117:C147)</f>
        <v>12</v>
      </c>
      <c r="D149" s="32">
        <f t="shared" ref="D149:D150" si="347">ROUND(C149/12,2)</f>
        <v>1</v>
      </c>
      <c r="E149" s="32">
        <f t="shared" ref="E149:E150" si="348">D149*2</f>
        <v>2</v>
      </c>
      <c r="F149" s="33"/>
      <c r="G149" s="93">
        <f>SUMIF($B$117:$B$147,"ปริญญาโท",G117:G147)</f>
        <v>9</v>
      </c>
      <c r="H149" s="32">
        <f t="shared" ref="H149:H150" si="349">ROUND(G149/12,2)</f>
        <v>0.75</v>
      </c>
      <c r="I149" s="32">
        <f t="shared" ref="I149:I150" si="350">H149*2</f>
        <v>1.5</v>
      </c>
      <c r="J149" s="33"/>
      <c r="K149" s="93">
        <f>SUMIF($B$117:$B$147,"ปริญญาโท",K117:K147)</f>
        <v>60</v>
      </c>
      <c r="L149" s="32">
        <f t="shared" ref="L149:L150" si="351">ROUND(K149/12,2)</f>
        <v>5</v>
      </c>
      <c r="M149" s="32">
        <f t="shared" ref="M149:M150" si="352">L149*2</f>
        <v>10</v>
      </c>
      <c r="N149" s="33"/>
      <c r="O149" s="136">
        <f t="shared" si="266"/>
        <v>81</v>
      </c>
      <c r="P149" s="34">
        <f t="shared" ref="P149:P150" si="353">ROUND(O149/24,2)</f>
        <v>3.38</v>
      </c>
      <c r="Q149" s="34">
        <f t="shared" ref="Q149:Q150" si="354">P149*2</f>
        <v>6.76</v>
      </c>
      <c r="R149" s="23"/>
    </row>
    <row r="150" spans="1:18" ht="18.75" customHeight="1" thickBot="1" x14ac:dyDescent="0.4">
      <c r="A150" s="175" t="s">
        <v>22</v>
      </c>
      <c r="B150" s="152" t="s">
        <v>10</v>
      </c>
      <c r="C150" s="94">
        <f>SUMIF($B$117:$B$147,"ปริญญาเอก",C117:C147)</f>
        <v>0</v>
      </c>
      <c r="D150" s="35">
        <f t="shared" si="347"/>
        <v>0</v>
      </c>
      <c r="E150" s="35">
        <f t="shared" si="348"/>
        <v>0</v>
      </c>
      <c r="F150" s="36"/>
      <c r="G150" s="94">
        <f>SUMIF($B$117:$B$147,"ปริญญาเอก",G117:G147)</f>
        <v>0</v>
      </c>
      <c r="H150" s="35">
        <f t="shared" si="349"/>
        <v>0</v>
      </c>
      <c r="I150" s="35">
        <f t="shared" si="350"/>
        <v>0</v>
      </c>
      <c r="J150" s="36"/>
      <c r="K150" s="94">
        <f>SUMIF($B$117:$B$147,"ปริญญาเอก",K117:K147)</f>
        <v>0</v>
      </c>
      <c r="L150" s="35">
        <f t="shared" si="351"/>
        <v>0</v>
      </c>
      <c r="M150" s="35">
        <f t="shared" si="352"/>
        <v>0</v>
      </c>
      <c r="N150" s="36"/>
      <c r="O150" s="137">
        <f t="shared" si="266"/>
        <v>0</v>
      </c>
      <c r="P150" s="37">
        <f t="shared" si="353"/>
        <v>0</v>
      </c>
      <c r="Q150" s="37">
        <f t="shared" si="354"/>
        <v>0</v>
      </c>
      <c r="R150" s="27"/>
    </row>
    <row r="151" spans="1:18" ht="18.75" customHeight="1" x14ac:dyDescent="0.35">
      <c r="A151" s="148" t="s">
        <v>54</v>
      </c>
      <c r="B151" s="150"/>
      <c r="C151" s="80"/>
      <c r="D151" s="28"/>
      <c r="E151" s="28"/>
      <c r="F151" s="29"/>
      <c r="G151" s="79"/>
      <c r="H151" s="28"/>
      <c r="I151" s="28"/>
      <c r="J151" s="29"/>
      <c r="K151" s="80"/>
      <c r="L151" s="28"/>
      <c r="M151" s="28"/>
      <c r="N151" s="29"/>
      <c r="O151" s="66"/>
      <c r="P151" s="30"/>
      <c r="Q151" s="30"/>
      <c r="R151" s="31"/>
    </row>
    <row r="152" spans="1:18" ht="18.75" customHeight="1" x14ac:dyDescent="0.35">
      <c r="A152" s="145" t="s">
        <v>7</v>
      </c>
      <c r="B152" s="145" t="s">
        <v>8</v>
      </c>
      <c r="C152" s="140">
        <f>130+371.184</f>
        <v>501.18400000000003</v>
      </c>
      <c r="D152" s="20">
        <f>ROUND(C152/18,2)</f>
        <v>27.84</v>
      </c>
      <c r="E152" s="20"/>
      <c r="F152" s="21">
        <f>SUM(D152,E153:E154)</f>
        <v>27.84</v>
      </c>
      <c r="G152" s="81">
        <v>175</v>
      </c>
      <c r="H152" s="20">
        <f>ROUND(G152/18,2)</f>
        <v>9.7200000000000006</v>
      </c>
      <c r="I152" s="20"/>
      <c r="J152" s="21">
        <f>SUM(H152,I153:I154)</f>
        <v>9.7200000000000006</v>
      </c>
      <c r="K152" s="82"/>
      <c r="L152" s="20">
        <f>ROUND(K152/18,2)</f>
        <v>0</v>
      </c>
      <c r="M152" s="20"/>
      <c r="N152" s="21">
        <f>SUM(L152,M153:M154)</f>
        <v>0</v>
      </c>
      <c r="O152" s="22">
        <f t="shared" ref="O152:O154" si="355">SUMIF($C$3:$N$3,"SCH",C152:N152)</f>
        <v>676.18399999999997</v>
      </c>
      <c r="P152" s="22">
        <f>ROUND(O152/36,2)</f>
        <v>18.78</v>
      </c>
      <c r="Q152" s="22"/>
      <c r="R152" s="23">
        <f>SUM(P152,Q153:Q154)</f>
        <v>18.78</v>
      </c>
    </row>
    <row r="153" spans="1:18" ht="18.75" customHeight="1" x14ac:dyDescent="0.35">
      <c r="A153" s="163"/>
      <c r="B153" s="145" t="s">
        <v>9</v>
      </c>
      <c r="C153" s="140"/>
      <c r="D153" s="20">
        <f t="shared" ref="D153:D154" si="356">ROUND(C153/12,2)</f>
        <v>0</v>
      </c>
      <c r="E153" s="20">
        <f t="shared" ref="E153:E154" si="357">D153*1</f>
        <v>0</v>
      </c>
      <c r="F153" s="21"/>
      <c r="G153" s="81"/>
      <c r="H153" s="20">
        <f t="shared" ref="H153:H154" si="358">ROUND(G153/12,2)</f>
        <v>0</v>
      </c>
      <c r="I153" s="20">
        <f t="shared" ref="I153:I154" si="359">H153*1</f>
        <v>0</v>
      </c>
      <c r="J153" s="21"/>
      <c r="K153" s="82"/>
      <c r="L153" s="20">
        <f t="shared" ref="L153:L154" si="360">ROUND(K153/12,2)</f>
        <v>0</v>
      </c>
      <c r="M153" s="20">
        <f t="shared" ref="M153:M154" si="361">L153*1</f>
        <v>0</v>
      </c>
      <c r="N153" s="21"/>
      <c r="O153" s="22">
        <f t="shared" si="355"/>
        <v>0</v>
      </c>
      <c r="P153" s="22">
        <f t="shared" ref="P153:P154" si="362">ROUND(O153/24,2)</f>
        <v>0</v>
      </c>
      <c r="Q153" s="22">
        <f t="shared" ref="Q153:Q154" si="363">P153*1</f>
        <v>0</v>
      </c>
      <c r="R153" s="23"/>
    </row>
    <row r="154" spans="1:18" ht="18.75" customHeight="1" thickBot="1" x14ac:dyDescent="0.4">
      <c r="A154" s="164"/>
      <c r="B154" s="146" t="s">
        <v>10</v>
      </c>
      <c r="C154" s="298"/>
      <c r="D154" s="24">
        <f t="shared" si="356"/>
        <v>0</v>
      </c>
      <c r="E154" s="24">
        <f t="shared" si="357"/>
        <v>0</v>
      </c>
      <c r="F154" s="25"/>
      <c r="G154" s="83"/>
      <c r="H154" s="24">
        <f t="shared" si="358"/>
        <v>0</v>
      </c>
      <c r="I154" s="24">
        <f t="shared" si="359"/>
        <v>0</v>
      </c>
      <c r="J154" s="25"/>
      <c r="K154" s="84"/>
      <c r="L154" s="24">
        <f t="shared" si="360"/>
        <v>0</v>
      </c>
      <c r="M154" s="24">
        <f t="shared" si="361"/>
        <v>0</v>
      </c>
      <c r="N154" s="25"/>
      <c r="O154" s="92">
        <f t="shared" si="355"/>
        <v>0</v>
      </c>
      <c r="P154" s="26">
        <f t="shared" si="362"/>
        <v>0</v>
      </c>
      <c r="Q154" s="26">
        <f t="shared" si="363"/>
        <v>0</v>
      </c>
      <c r="R154" s="27"/>
    </row>
    <row r="155" spans="1:18" ht="18.75" customHeight="1" x14ac:dyDescent="0.35">
      <c r="A155" s="148" t="s">
        <v>55</v>
      </c>
      <c r="B155" s="149"/>
      <c r="C155" s="268"/>
      <c r="D155" s="28"/>
      <c r="E155" s="28"/>
      <c r="F155" s="29"/>
      <c r="G155" s="79"/>
      <c r="H155" s="28"/>
      <c r="I155" s="28"/>
      <c r="J155" s="29"/>
      <c r="K155" s="80"/>
      <c r="L155" s="28"/>
      <c r="M155" s="28"/>
      <c r="N155" s="29"/>
      <c r="O155" s="30"/>
      <c r="P155" s="30"/>
      <c r="Q155" s="30"/>
      <c r="R155" s="31"/>
    </row>
    <row r="156" spans="1:18" ht="18.75" customHeight="1" x14ac:dyDescent="0.35">
      <c r="A156" s="145" t="s">
        <v>56</v>
      </c>
      <c r="B156" s="145" t="s">
        <v>8</v>
      </c>
      <c r="C156" s="140"/>
      <c r="D156" s="20">
        <f>ROUND(C156/18,2)</f>
        <v>0</v>
      </c>
      <c r="E156" s="20"/>
      <c r="F156" s="21">
        <f>SUM(D156,E157:E158)</f>
        <v>0</v>
      </c>
      <c r="G156" s="81"/>
      <c r="H156" s="20">
        <f>ROUND(G156/18,2)</f>
        <v>0</v>
      </c>
      <c r="I156" s="20"/>
      <c r="J156" s="21">
        <f>SUM(H156,I157:I158)</f>
        <v>0</v>
      </c>
      <c r="K156" s="82"/>
      <c r="L156" s="20">
        <f>ROUND(K156/18,2)</f>
        <v>0</v>
      </c>
      <c r="M156" s="20"/>
      <c r="N156" s="21">
        <f>SUM(L156,M157:M158)</f>
        <v>0</v>
      </c>
      <c r="O156" s="22">
        <f t="shared" ref="O156:O164" si="364">SUMIF($C$3:$N$3,"SCH",C156:N156)</f>
        <v>0</v>
      </c>
      <c r="P156" s="22">
        <f>ROUND(O156/36,2)</f>
        <v>0</v>
      </c>
      <c r="Q156" s="22"/>
      <c r="R156" s="23">
        <f>SUM(P156,Q157:Q158)</f>
        <v>0</v>
      </c>
    </row>
    <row r="157" spans="1:18" ht="18.75" customHeight="1" x14ac:dyDescent="0.35">
      <c r="A157" s="145"/>
      <c r="B157" s="145" t="s">
        <v>9</v>
      </c>
      <c r="C157" s="140"/>
      <c r="D157" s="20">
        <f t="shared" ref="D157:D158" si="365">ROUND(C157/12,2)</f>
        <v>0</v>
      </c>
      <c r="E157" s="20">
        <f t="shared" ref="E157:E158" si="366">D157*2</f>
        <v>0</v>
      </c>
      <c r="F157" s="21"/>
      <c r="G157" s="81"/>
      <c r="H157" s="20">
        <f t="shared" ref="H157:H158" si="367">ROUND(G157/12,2)</f>
        <v>0</v>
      </c>
      <c r="I157" s="20">
        <f t="shared" ref="I157:I158" si="368">H157*2</f>
        <v>0</v>
      </c>
      <c r="J157" s="21"/>
      <c r="K157" s="82"/>
      <c r="L157" s="20">
        <f t="shared" ref="L157:L158" si="369">ROUND(K157/12,2)</f>
        <v>0</v>
      </c>
      <c r="M157" s="20">
        <f t="shared" ref="M157:M158" si="370">L157*2</f>
        <v>0</v>
      </c>
      <c r="N157" s="21"/>
      <c r="O157" s="22">
        <f t="shared" si="364"/>
        <v>0</v>
      </c>
      <c r="P157" s="22">
        <f t="shared" ref="P157:P158" si="371">ROUND(O157/24,2)</f>
        <v>0</v>
      </c>
      <c r="Q157" s="22">
        <f t="shared" ref="Q157:Q158" si="372">P157*2</f>
        <v>0</v>
      </c>
      <c r="R157" s="23"/>
    </row>
    <row r="158" spans="1:18" ht="18.75" customHeight="1" x14ac:dyDescent="0.35">
      <c r="A158" s="145"/>
      <c r="B158" s="145" t="s">
        <v>10</v>
      </c>
      <c r="C158" s="140"/>
      <c r="D158" s="20">
        <f t="shared" si="365"/>
        <v>0</v>
      </c>
      <c r="E158" s="20">
        <f t="shared" si="366"/>
        <v>0</v>
      </c>
      <c r="F158" s="21"/>
      <c r="G158" s="81"/>
      <c r="H158" s="20">
        <f t="shared" si="367"/>
        <v>0</v>
      </c>
      <c r="I158" s="20">
        <f t="shared" si="368"/>
        <v>0</v>
      </c>
      <c r="J158" s="21"/>
      <c r="K158" s="82"/>
      <c r="L158" s="20">
        <f t="shared" si="369"/>
        <v>0</v>
      </c>
      <c r="M158" s="20">
        <f t="shared" si="370"/>
        <v>0</v>
      </c>
      <c r="N158" s="21"/>
      <c r="O158" s="22">
        <f t="shared" si="364"/>
        <v>0</v>
      </c>
      <c r="P158" s="22">
        <f t="shared" si="371"/>
        <v>0</v>
      </c>
      <c r="Q158" s="22">
        <f t="shared" si="372"/>
        <v>0</v>
      </c>
      <c r="R158" s="23"/>
    </row>
    <row r="159" spans="1:18" ht="18.75" customHeight="1" x14ac:dyDescent="0.35">
      <c r="A159" s="145" t="s">
        <v>57</v>
      </c>
      <c r="B159" s="145" t="s">
        <v>8</v>
      </c>
      <c r="C159" s="140"/>
      <c r="D159" s="20">
        <f>ROUND(C159/18,2)</f>
        <v>0</v>
      </c>
      <c r="E159" s="20"/>
      <c r="F159" s="21">
        <f>SUM(D159,E160:E161)</f>
        <v>0</v>
      </c>
      <c r="G159" s="81"/>
      <c r="H159" s="20">
        <f>ROUND(G159/18,2)</f>
        <v>0</v>
      </c>
      <c r="I159" s="20"/>
      <c r="J159" s="21">
        <f>SUM(H159,I160:I161)</f>
        <v>0</v>
      </c>
      <c r="K159" s="82"/>
      <c r="L159" s="20">
        <f>ROUND(K159/18,2)</f>
        <v>0</v>
      </c>
      <c r="M159" s="20"/>
      <c r="N159" s="21">
        <f>SUM(L159,M160:M161)</f>
        <v>0</v>
      </c>
      <c r="O159" s="22">
        <f t="shared" si="364"/>
        <v>0</v>
      </c>
      <c r="P159" s="22">
        <f>ROUND(O159/36,2)</f>
        <v>0</v>
      </c>
      <c r="Q159" s="22"/>
      <c r="R159" s="23">
        <f>SUM(P159,Q160:Q161)</f>
        <v>0</v>
      </c>
    </row>
    <row r="160" spans="1:18" ht="18.75" customHeight="1" x14ac:dyDescent="0.35">
      <c r="A160" s="145"/>
      <c r="B160" s="145" t="s">
        <v>9</v>
      </c>
      <c r="C160" s="140"/>
      <c r="D160" s="20">
        <f t="shared" ref="D160:D161" si="373">ROUND(C160/12,2)</f>
        <v>0</v>
      </c>
      <c r="E160" s="20">
        <f t="shared" ref="E160:E161" si="374">D160*2</f>
        <v>0</v>
      </c>
      <c r="F160" s="21"/>
      <c r="G160" s="81"/>
      <c r="H160" s="20">
        <f t="shared" ref="H160:H161" si="375">ROUND(G160/12,2)</f>
        <v>0</v>
      </c>
      <c r="I160" s="20">
        <f t="shared" ref="I160:I161" si="376">H160*2</f>
        <v>0</v>
      </c>
      <c r="J160" s="21"/>
      <c r="K160" s="82"/>
      <c r="L160" s="20">
        <f t="shared" ref="L160:L161" si="377">ROUND(K160/12,2)</f>
        <v>0</v>
      </c>
      <c r="M160" s="20">
        <f t="shared" ref="M160:M161" si="378">L160*2</f>
        <v>0</v>
      </c>
      <c r="N160" s="21"/>
      <c r="O160" s="22">
        <f t="shared" si="364"/>
        <v>0</v>
      </c>
      <c r="P160" s="22">
        <f t="shared" ref="P160:P161" si="379">ROUND(O160/24,2)</f>
        <v>0</v>
      </c>
      <c r="Q160" s="22">
        <f t="shared" ref="Q160:Q161" si="380">P160*2</f>
        <v>0</v>
      </c>
      <c r="R160" s="23"/>
    </row>
    <row r="161" spans="1:18" ht="18.75" customHeight="1" x14ac:dyDescent="0.35">
      <c r="A161" s="145"/>
      <c r="B161" s="145" t="s">
        <v>10</v>
      </c>
      <c r="C161" s="140"/>
      <c r="D161" s="20">
        <f t="shared" si="373"/>
        <v>0</v>
      </c>
      <c r="E161" s="20">
        <f t="shared" si="374"/>
        <v>0</v>
      </c>
      <c r="F161" s="21"/>
      <c r="G161" s="81"/>
      <c r="H161" s="20">
        <f t="shared" si="375"/>
        <v>0</v>
      </c>
      <c r="I161" s="20">
        <f t="shared" si="376"/>
        <v>0</v>
      </c>
      <c r="J161" s="21"/>
      <c r="K161" s="82"/>
      <c r="L161" s="20">
        <f t="shared" si="377"/>
        <v>0</v>
      </c>
      <c r="M161" s="20">
        <f t="shared" si="378"/>
        <v>0</v>
      </c>
      <c r="N161" s="21"/>
      <c r="O161" s="22">
        <f t="shared" si="364"/>
        <v>0</v>
      </c>
      <c r="P161" s="22">
        <f t="shared" si="379"/>
        <v>0</v>
      </c>
      <c r="Q161" s="22">
        <f t="shared" si="380"/>
        <v>0</v>
      </c>
      <c r="R161" s="23"/>
    </row>
    <row r="162" spans="1:18" ht="18.75" customHeight="1" x14ac:dyDescent="0.35">
      <c r="A162" s="145" t="s">
        <v>58</v>
      </c>
      <c r="B162" s="145" t="s">
        <v>8</v>
      </c>
      <c r="C162" s="140"/>
      <c r="D162" s="20">
        <f>ROUND(C162/18,2)</f>
        <v>0</v>
      </c>
      <c r="E162" s="20"/>
      <c r="F162" s="21">
        <f>SUM(D162,E163:E164)</f>
        <v>0</v>
      </c>
      <c r="G162" s="81"/>
      <c r="H162" s="20">
        <f>ROUND(G162/18,2)</f>
        <v>0</v>
      </c>
      <c r="I162" s="20"/>
      <c r="J162" s="21">
        <f>SUM(H162,I163:I164)</f>
        <v>0</v>
      </c>
      <c r="K162" s="82"/>
      <c r="L162" s="20">
        <f>ROUND(K162/18,2)</f>
        <v>0</v>
      </c>
      <c r="M162" s="20"/>
      <c r="N162" s="21">
        <f>SUM(L162,M163:M164)</f>
        <v>0</v>
      </c>
      <c r="O162" s="22">
        <f t="shared" si="364"/>
        <v>0</v>
      </c>
      <c r="P162" s="22">
        <f>ROUND(O162/36,2)</f>
        <v>0</v>
      </c>
      <c r="Q162" s="22"/>
      <c r="R162" s="23">
        <f>SUM(P162,Q163:Q164)</f>
        <v>0</v>
      </c>
    </row>
    <row r="163" spans="1:18" ht="18.75" customHeight="1" x14ac:dyDescent="0.35">
      <c r="A163" s="145"/>
      <c r="B163" s="145" t="s">
        <v>9</v>
      </c>
      <c r="C163" s="140"/>
      <c r="D163" s="20">
        <f t="shared" ref="D163:D164" si="381">ROUND(C163/12,2)</f>
        <v>0</v>
      </c>
      <c r="E163" s="20">
        <f t="shared" ref="E163:E164" si="382">D163*2</f>
        <v>0</v>
      </c>
      <c r="F163" s="21"/>
      <c r="G163" s="81"/>
      <c r="H163" s="20">
        <f t="shared" ref="H163:H164" si="383">ROUND(G163/12,2)</f>
        <v>0</v>
      </c>
      <c r="I163" s="20">
        <f t="shared" ref="I163:I164" si="384">H163*2</f>
        <v>0</v>
      </c>
      <c r="J163" s="21"/>
      <c r="K163" s="82"/>
      <c r="L163" s="20">
        <f t="shared" ref="L163:L164" si="385">ROUND(K163/12,2)</f>
        <v>0</v>
      </c>
      <c r="M163" s="20">
        <f t="shared" ref="M163:M164" si="386">L163*2</f>
        <v>0</v>
      </c>
      <c r="N163" s="21"/>
      <c r="O163" s="22">
        <f t="shared" si="364"/>
        <v>0</v>
      </c>
      <c r="P163" s="22">
        <f t="shared" ref="P163:P164" si="387">ROUND(O163/24,2)</f>
        <v>0</v>
      </c>
      <c r="Q163" s="22">
        <f t="shared" ref="Q163:Q164" si="388">P163*2</f>
        <v>0</v>
      </c>
      <c r="R163" s="23"/>
    </row>
    <row r="164" spans="1:18" ht="18.75" customHeight="1" x14ac:dyDescent="0.35">
      <c r="A164" s="145"/>
      <c r="B164" s="145" t="s">
        <v>10</v>
      </c>
      <c r="C164" s="140"/>
      <c r="D164" s="20">
        <f t="shared" si="381"/>
        <v>0</v>
      </c>
      <c r="E164" s="20">
        <f t="shared" si="382"/>
        <v>0</v>
      </c>
      <c r="F164" s="21"/>
      <c r="G164" s="81"/>
      <c r="H164" s="20">
        <f t="shared" si="383"/>
        <v>0</v>
      </c>
      <c r="I164" s="20">
        <f t="shared" si="384"/>
        <v>0</v>
      </c>
      <c r="J164" s="21"/>
      <c r="K164" s="82"/>
      <c r="L164" s="20">
        <f t="shared" si="385"/>
        <v>0</v>
      </c>
      <c r="M164" s="20">
        <f t="shared" si="386"/>
        <v>0</v>
      </c>
      <c r="N164" s="21"/>
      <c r="O164" s="22">
        <f t="shared" si="364"/>
        <v>0</v>
      </c>
      <c r="P164" s="22">
        <f t="shared" si="387"/>
        <v>0</v>
      </c>
      <c r="Q164" s="22">
        <f t="shared" si="388"/>
        <v>0</v>
      </c>
      <c r="R164" s="23"/>
    </row>
    <row r="165" spans="1:18" ht="18.75" customHeight="1" x14ac:dyDescent="0.35">
      <c r="A165" s="145" t="s">
        <v>59</v>
      </c>
      <c r="B165" s="145" t="s">
        <v>8</v>
      </c>
      <c r="C165" s="20">
        <v>152.25</v>
      </c>
      <c r="D165" s="20">
        <f>ROUND(C165/18,2)</f>
        <v>8.4600000000000009</v>
      </c>
      <c r="E165" s="20"/>
      <c r="F165" s="21">
        <f>SUM(D165,E166:E167)</f>
        <v>8.4600000000000009</v>
      </c>
      <c r="G165" s="81">
        <v>515</v>
      </c>
      <c r="H165" s="20">
        <f>ROUND(G165/18,2)</f>
        <v>28.61</v>
      </c>
      <c r="I165" s="20"/>
      <c r="J165" s="21">
        <f>SUM(H165,I166:I167)</f>
        <v>28.61</v>
      </c>
      <c r="K165" s="82"/>
      <c r="L165" s="20">
        <f>ROUND(K165/18,2)</f>
        <v>0</v>
      </c>
      <c r="M165" s="20"/>
      <c r="N165" s="21">
        <f>SUM(L165,M166:M167)</f>
        <v>0</v>
      </c>
      <c r="O165" s="22">
        <f t="shared" ref="O165:O176" si="389">SUMIF($C$3:$N$3,"SCH",C165:N165)</f>
        <v>667.25</v>
      </c>
      <c r="P165" s="22">
        <f>ROUND(O165/36,2)</f>
        <v>18.53</v>
      </c>
      <c r="Q165" s="22"/>
      <c r="R165" s="23">
        <f>SUM(P165,Q166:Q167)</f>
        <v>18.53</v>
      </c>
    </row>
    <row r="166" spans="1:18" ht="18.75" customHeight="1" x14ac:dyDescent="0.35">
      <c r="A166" s="145"/>
      <c r="B166" s="145" t="s">
        <v>9</v>
      </c>
      <c r="C166" s="140"/>
      <c r="D166" s="20">
        <f t="shared" ref="D166:D167" si="390">ROUND(C166/12,2)</f>
        <v>0</v>
      </c>
      <c r="E166" s="20">
        <f t="shared" ref="E166:E167" si="391">D166*2</f>
        <v>0</v>
      </c>
      <c r="F166" s="21"/>
      <c r="G166" s="81"/>
      <c r="H166" s="20">
        <f t="shared" ref="H166:H167" si="392">ROUND(G166/12,2)</f>
        <v>0</v>
      </c>
      <c r="I166" s="20">
        <f t="shared" ref="I166:I167" si="393">H166*2</f>
        <v>0</v>
      </c>
      <c r="J166" s="21"/>
      <c r="K166" s="82"/>
      <c r="L166" s="20">
        <f t="shared" ref="L166:L167" si="394">ROUND(K166/12,2)</f>
        <v>0</v>
      </c>
      <c r="M166" s="20">
        <f t="shared" ref="M166:M167" si="395">L166*2</f>
        <v>0</v>
      </c>
      <c r="N166" s="21"/>
      <c r="O166" s="22">
        <f t="shared" si="389"/>
        <v>0</v>
      </c>
      <c r="P166" s="22">
        <f t="shared" ref="P166:P167" si="396">ROUND(O166/24,2)</f>
        <v>0</v>
      </c>
      <c r="Q166" s="22">
        <f t="shared" ref="Q166:Q167" si="397">P166*2</f>
        <v>0</v>
      </c>
      <c r="R166" s="23"/>
    </row>
    <row r="167" spans="1:18" ht="18.75" customHeight="1" x14ac:dyDescent="0.35">
      <c r="A167" s="145"/>
      <c r="B167" s="145" t="s">
        <v>10</v>
      </c>
      <c r="C167" s="140"/>
      <c r="D167" s="20">
        <f t="shared" si="390"/>
        <v>0</v>
      </c>
      <c r="E167" s="20">
        <f t="shared" si="391"/>
        <v>0</v>
      </c>
      <c r="F167" s="21"/>
      <c r="G167" s="81"/>
      <c r="H167" s="20">
        <f t="shared" si="392"/>
        <v>0</v>
      </c>
      <c r="I167" s="20">
        <f t="shared" si="393"/>
        <v>0</v>
      </c>
      <c r="J167" s="21"/>
      <c r="K167" s="82"/>
      <c r="L167" s="20">
        <f t="shared" si="394"/>
        <v>0</v>
      </c>
      <c r="M167" s="20">
        <f t="shared" si="395"/>
        <v>0</v>
      </c>
      <c r="N167" s="21"/>
      <c r="O167" s="22">
        <f t="shared" si="389"/>
        <v>0</v>
      </c>
      <c r="P167" s="22">
        <f t="shared" si="396"/>
        <v>0</v>
      </c>
      <c r="Q167" s="22">
        <f t="shared" si="397"/>
        <v>0</v>
      </c>
      <c r="R167" s="23"/>
    </row>
    <row r="168" spans="1:18" ht="18.75" customHeight="1" x14ac:dyDescent="0.35">
      <c r="A168" s="145" t="s">
        <v>60</v>
      </c>
      <c r="B168" s="145" t="s">
        <v>8</v>
      </c>
      <c r="C168" s="140"/>
      <c r="D168" s="20">
        <f>ROUND(C168/18,2)</f>
        <v>0</v>
      </c>
      <c r="E168" s="20"/>
      <c r="F168" s="21">
        <f>SUM(D168,E169:E170)</f>
        <v>0</v>
      </c>
      <c r="G168" s="81"/>
      <c r="H168" s="20">
        <f>ROUND(G168/18,2)</f>
        <v>0</v>
      </c>
      <c r="I168" s="20"/>
      <c r="J168" s="21">
        <f>SUM(H168,I169:I170)</f>
        <v>0</v>
      </c>
      <c r="K168" s="82"/>
      <c r="L168" s="20">
        <f>ROUND(K168/18,2)</f>
        <v>0</v>
      </c>
      <c r="M168" s="20"/>
      <c r="N168" s="21">
        <f>SUM(L168,M169:M170)</f>
        <v>0</v>
      </c>
      <c r="O168" s="22">
        <f t="shared" si="389"/>
        <v>0</v>
      </c>
      <c r="P168" s="22">
        <f>ROUND(O168/36,2)</f>
        <v>0</v>
      </c>
      <c r="Q168" s="22"/>
      <c r="R168" s="23">
        <f>SUM(P168,Q169:Q170)</f>
        <v>0</v>
      </c>
    </row>
    <row r="169" spans="1:18" ht="18.75" customHeight="1" x14ac:dyDescent="0.35">
      <c r="A169" s="145"/>
      <c r="B169" s="145" t="s">
        <v>9</v>
      </c>
      <c r="C169" s="140"/>
      <c r="D169" s="20">
        <f t="shared" ref="D169:D170" si="398">ROUND(C169/12,2)</f>
        <v>0</v>
      </c>
      <c r="E169" s="20">
        <f t="shared" ref="E169:E170" si="399">D169*2</f>
        <v>0</v>
      </c>
      <c r="F169" s="21"/>
      <c r="G169" s="81"/>
      <c r="H169" s="20">
        <f t="shared" ref="H169:H170" si="400">ROUND(G169/12,2)</f>
        <v>0</v>
      </c>
      <c r="I169" s="20">
        <f t="shared" ref="I169:I170" si="401">H169*2</f>
        <v>0</v>
      </c>
      <c r="J169" s="21"/>
      <c r="K169" s="82"/>
      <c r="L169" s="20">
        <f t="shared" ref="L169:L170" si="402">ROUND(K169/12,2)</f>
        <v>0</v>
      </c>
      <c r="M169" s="20">
        <f t="shared" ref="M169:M170" si="403">L169*2</f>
        <v>0</v>
      </c>
      <c r="N169" s="21"/>
      <c r="O169" s="22">
        <f t="shared" si="389"/>
        <v>0</v>
      </c>
      <c r="P169" s="22">
        <f t="shared" ref="P169:P170" si="404">ROUND(O169/24,2)</f>
        <v>0</v>
      </c>
      <c r="Q169" s="22">
        <f t="shared" ref="Q169:Q170" si="405">P169*2</f>
        <v>0</v>
      </c>
      <c r="R169" s="23"/>
    </row>
    <row r="170" spans="1:18" ht="18.75" customHeight="1" x14ac:dyDescent="0.35">
      <c r="A170" s="145"/>
      <c r="B170" s="145" t="s">
        <v>10</v>
      </c>
      <c r="C170" s="140"/>
      <c r="D170" s="20">
        <f t="shared" si="398"/>
        <v>0</v>
      </c>
      <c r="E170" s="20">
        <f t="shared" si="399"/>
        <v>0</v>
      </c>
      <c r="F170" s="21"/>
      <c r="G170" s="81"/>
      <c r="H170" s="20">
        <f t="shared" si="400"/>
        <v>0</v>
      </c>
      <c r="I170" s="20">
        <f t="shared" si="401"/>
        <v>0</v>
      </c>
      <c r="J170" s="21"/>
      <c r="K170" s="82"/>
      <c r="L170" s="20">
        <f t="shared" si="402"/>
        <v>0</v>
      </c>
      <c r="M170" s="20">
        <f t="shared" si="403"/>
        <v>0</v>
      </c>
      <c r="N170" s="21"/>
      <c r="O170" s="22">
        <f t="shared" si="389"/>
        <v>0</v>
      </c>
      <c r="P170" s="22">
        <f t="shared" si="404"/>
        <v>0</v>
      </c>
      <c r="Q170" s="22">
        <f t="shared" si="405"/>
        <v>0</v>
      </c>
      <c r="R170" s="23"/>
    </row>
    <row r="171" spans="1:18" ht="18.75" customHeight="1" x14ac:dyDescent="0.35">
      <c r="A171" s="145" t="s">
        <v>61</v>
      </c>
      <c r="B171" s="145" t="s">
        <v>8</v>
      </c>
      <c r="C171" s="140"/>
      <c r="D171" s="20">
        <f>ROUND(C171/18,2)</f>
        <v>0</v>
      </c>
      <c r="E171" s="20"/>
      <c r="F171" s="21">
        <f>SUM(D171,E172:E173)</f>
        <v>11</v>
      </c>
      <c r="G171" s="81"/>
      <c r="H171" s="20">
        <f>ROUND(G171/18,2)</f>
        <v>0</v>
      </c>
      <c r="I171" s="20"/>
      <c r="J171" s="21">
        <f>SUM(H171,I172:I173)</f>
        <v>15.5</v>
      </c>
      <c r="K171" s="82"/>
      <c r="L171" s="20">
        <f>ROUND(K171/18,2)</f>
        <v>0</v>
      </c>
      <c r="M171" s="20"/>
      <c r="N171" s="21">
        <f>SUM(L171,M172:M173)</f>
        <v>0</v>
      </c>
      <c r="O171" s="22">
        <f t="shared" si="389"/>
        <v>0</v>
      </c>
      <c r="P171" s="22">
        <f>ROUND(O171/36,2)</f>
        <v>0</v>
      </c>
      <c r="Q171" s="22"/>
      <c r="R171" s="23">
        <f>SUM(P171,Q172:Q173)</f>
        <v>13.26</v>
      </c>
    </row>
    <row r="172" spans="1:18" ht="18.75" customHeight="1" x14ac:dyDescent="0.35">
      <c r="A172" s="145"/>
      <c r="B172" s="145" t="s">
        <v>9</v>
      </c>
      <c r="C172" s="140">
        <v>66</v>
      </c>
      <c r="D172" s="20">
        <f t="shared" ref="D172:D173" si="406">ROUND(C172/12,2)</f>
        <v>5.5</v>
      </c>
      <c r="E172" s="20">
        <f t="shared" ref="E172:E173" si="407">D172*2</f>
        <v>11</v>
      </c>
      <c r="F172" s="21"/>
      <c r="G172" s="81">
        <v>93</v>
      </c>
      <c r="H172" s="20">
        <f t="shared" ref="H172:H173" si="408">ROUND(G172/12,2)</f>
        <v>7.75</v>
      </c>
      <c r="I172" s="20">
        <f t="shared" ref="I172:I173" si="409">H172*2</f>
        <v>15.5</v>
      </c>
      <c r="J172" s="21"/>
      <c r="K172" s="82"/>
      <c r="L172" s="20">
        <f t="shared" ref="L172:L173" si="410">ROUND(K172/12,2)</f>
        <v>0</v>
      </c>
      <c r="M172" s="20">
        <f t="shared" ref="M172:M173" si="411">L172*2</f>
        <v>0</v>
      </c>
      <c r="N172" s="21"/>
      <c r="O172" s="22">
        <f t="shared" si="389"/>
        <v>159</v>
      </c>
      <c r="P172" s="22">
        <f t="shared" ref="P172:P173" si="412">ROUND(O172/24,2)</f>
        <v>6.63</v>
      </c>
      <c r="Q172" s="22">
        <f t="shared" ref="Q172:Q173" si="413">P172*2</f>
        <v>13.26</v>
      </c>
      <c r="R172" s="23"/>
    </row>
    <row r="173" spans="1:18" ht="18.75" customHeight="1" x14ac:dyDescent="0.35">
      <c r="A173" s="145"/>
      <c r="B173" s="145" t="s">
        <v>10</v>
      </c>
      <c r="C173" s="140"/>
      <c r="D173" s="20">
        <f t="shared" si="406"/>
        <v>0</v>
      </c>
      <c r="E173" s="20">
        <f t="shared" si="407"/>
        <v>0</v>
      </c>
      <c r="F173" s="21"/>
      <c r="G173" s="81"/>
      <c r="H173" s="20">
        <f t="shared" si="408"/>
        <v>0</v>
      </c>
      <c r="I173" s="20">
        <f t="shared" si="409"/>
        <v>0</v>
      </c>
      <c r="J173" s="21"/>
      <c r="K173" s="82"/>
      <c r="L173" s="20">
        <f t="shared" si="410"/>
        <v>0</v>
      </c>
      <c r="M173" s="20">
        <f t="shared" si="411"/>
        <v>0</v>
      </c>
      <c r="N173" s="21"/>
      <c r="O173" s="22">
        <f t="shared" si="389"/>
        <v>0</v>
      </c>
      <c r="P173" s="22">
        <f t="shared" si="412"/>
        <v>0</v>
      </c>
      <c r="Q173" s="22">
        <f t="shared" si="413"/>
        <v>0</v>
      </c>
      <c r="R173" s="23"/>
    </row>
    <row r="174" spans="1:18" ht="18.75" customHeight="1" x14ac:dyDescent="0.35">
      <c r="A174" s="173" t="s">
        <v>22</v>
      </c>
      <c r="B174" s="151" t="s">
        <v>8</v>
      </c>
      <c r="C174" s="93">
        <f>SUMIF($B$155:$B$173,"ปริญญาตรี",C155:C173)</f>
        <v>152.25</v>
      </c>
      <c r="D174" s="32">
        <f>ROUND(C174/18,2)</f>
        <v>8.4600000000000009</v>
      </c>
      <c r="E174" s="32"/>
      <c r="F174" s="33">
        <f>SUM(D174,E175:E176)</f>
        <v>19.46</v>
      </c>
      <c r="G174" s="93">
        <f>SUMIF($B$155:$B$173,"ปริญญาตรี",G155:G173)</f>
        <v>515</v>
      </c>
      <c r="H174" s="32">
        <f>ROUND(G174/18,2)</f>
        <v>28.61</v>
      </c>
      <c r="I174" s="32"/>
      <c r="J174" s="33">
        <f>SUM(H174,I175:I176)</f>
        <v>44.11</v>
      </c>
      <c r="K174" s="93">
        <f>SUMIF($B$155:$B$173,"ปริญญาตรี",K155:K173)</f>
        <v>0</v>
      </c>
      <c r="L174" s="32">
        <f>ROUND(K174/18,2)</f>
        <v>0</v>
      </c>
      <c r="M174" s="32"/>
      <c r="N174" s="33">
        <f>SUM(L174,M175:M176)</f>
        <v>0</v>
      </c>
      <c r="O174" s="136">
        <f t="shared" si="389"/>
        <v>667.25</v>
      </c>
      <c r="P174" s="34">
        <f>ROUND(O174/36,2)</f>
        <v>18.53</v>
      </c>
      <c r="Q174" s="34"/>
      <c r="R174" s="23">
        <f>SUM(P174,Q175:Q176)</f>
        <v>31.79</v>
      </c>
    </row>
    <row r="175" spans="1:18" ht="18.75" customHeight="1" x14ac:dyDescent="0.35">
      <c r="A175" s="174" t="s">
        <v>22</v>
      </c>
      <c r="B175" s="151" t="s">
        <v>9</v>
      </c>
      <c r="C175" s="93">
        <f>SUMIF($B$155:$B$173,"ปริญญาโท",C155:C173)</f>
        <v>66</v>
      </c>
      <c r="D175" s="32">
        <f t="shared" ref="D175:D176" si="414">ROUND(C175/12,2)</f>
        <v>5.5</v>
      </c>
      <c r="E175" s="32">
        <f t="shared" ref="E175:E176" si="415">D175*2</f>
        <v>11</v>
      </c>
      <c r="F175" s="33"/>
      <c r="G175" s="93">
        <f>SUMIF($B$155:$B$173,"ปริญญาโท",G155:G173)</f>
        <v>93</v>
      </c>
      <c r="H175" s="32">
        <f t="shared" ref="H175:H176" si="416">ROUND(G175/12,2)</f>
        <v>7.75</v>
      </c>
      <c r="I175" s="32">
        <f t="shared" ref="I175:I176" si="417">H175*2</f>
        <v>15.5</v>
      </c>
      <c r="J175" s="33"/>
      <c r="K175" s="93">
        <f>SUMIF($B$155:$B$173,"ปริญญาโท",K155:K173)</f>
        <v>0</v>
      </c>
      <c r="L175" s="32">
        <f t="shared" ref="L175:L176" si="418">ROUND(K175/12,2)</f>
        <v>0</v>
      </c>
      <c r="M175" s="32">
        <f t="shared" ref="M175:M176" si="419">L175*2</f>
        <v>0</v>
      </c>
      <c r="N175" s="33"/>
      <c r="O175" s="136">
        <f t="shared" si="389"/>
        <v>159</v>
      </c>
      <c r="P175" s="34">
        <f t="shared" ref="P175:P176" si="420">ROUND(O175/24,2)</f>
        <v>6.63</v>
      </c>
      <c r="Q175" s="34">
        <f t="shared" ref="Q175:Q176" si="421">P175*2</f>
        <v>13.26</v>
      </c>
      <c r="R175" s="23"/>
    </row>
    <row r="176" spans="1:18" ht="18.75" customHeight="1" thickBot="1" x14ac:dyDescent="0.4">
      <c r="A176" s="175" t="s">
        <v>22</v>
      </c>
      <c r="B176" s="152" t="s">
        <v>10</v>
      </c>
      <c r="C176" s="94">
        <f>SUMIF($B$155:$B$173,"ปริญญาเอก",C155:C173)</f>
        <v>0</v>
      </c>
      <c r="D176" s="35">
        <f t="shared" si="414"/>
        <v>0</v>
      </c>
      <c r="E176" s="35">
        <f t="shared" si="415"/>
        <v>0</v>
      </c>
      <c r="F176" s="36"/>
      <c r="G176" s="94">
        <f>SUMIF($B$155:$B$173,"ปริญญาเอก",G155:G173)</f>
        <v>0</v>
      </c>
      <c r="H176" s="35">
        <f t="shared" si="416"/>
        <v>0</v>
      </c>
      <c r="I176" s="35">
        <f t="shared" si="417"/>
        <v>0</v>
      </c>
      <c r="J176" s="36"/>
      <c r="K176" s="94">
        <f>SUMIF($B$155:$B$173,"ปริญญาเอก",K155:K173)</f>
        <v>0</v>
      </c>
      <c r="L176" s="35">
        <f t="shared" si="418"/>
        <v>0</v>
      </c>
      <c r="M176" s="35">
        <f t="shared" si="419"/>
        <v>0</v>
      </c>
      <c r="N176" s="36"/>
      <c r="O176" s="137">
        <f t="shared" si="389"/>
        <v>0</v>
      </c>
      <c r="P176" s="37">
        <f t="shared" si="420"/>
        <v>0</v>
      </c>
      <c r="Q176" s="37">
        <f t="shared" si="421"/>
        <v>0</v>
      </c>
      <c r="R176" s="27"/>
    </row>
    <row r="177" spans="1:24" ht="18.75" customHeight="1" x14ac:dyDescent="0.35">
      <c r="A177" s="148" t="s">
        <v>62</v>
      </c>
      <c r="B177" s="149"/>
      <c r="C177" s="80"/>
      <c r="D177" s="28"/>
      <c r="E177" s="28"/>
      <c r="F177" s="29"/>
      <c r="G177" s="79"/>
      <c r="H177" s="28"/>
      <c r="I177" s="28"/>
      <c r="J177" s="29"/>
      <c r="K177" s="80"/>
      <c r="L177" s="28"/>
      <c r="M177" s="28"/>
      <c r="N177" s="29"/>
      <c r="O177" s="66"/>
      <c r="P177" s="30"/>
      <c r="Q177" s="30"/>
      <c r="R177" s="31"/>
    </row>
    <row r="178" spans="1:24" ht="18.75" customHeight="1" x14ac:dyDescent="0.35">
      <c r="A178" s="145" t="s">
        <v>7</v>
      </c>
      <c r="B178" s="145" t="s">
        <v>8</v>
      </c>
      <c r="C178" s="140">
        <f>1101+50.35</f>
        <v>1151.3499999999999</v>
      </c>
      <c r="D178" s="20">
        <f>ROUND(C178/18,2)</f>
        <v>63.96</v>
      </c>
      <c r="E178" s="20"/>
      <c r="F178" s="21">
        <f>SUM(D178,E179:E180)</f>
        <v>63.96</v>
      </c>
      <c r="G178" s="81">
        <v>1205</v>
      </c>
      <c r="H178" s="20">
        <f>ROUND(G178/18,2)</f>
        <v>66.94</v>
      </c>
      <c r="I178" s="20"/>
      <c r="J178" s="21">
        <f>SUM(H178,I179:I180)</f>
        <v>66.94</v>
      </c>
      <c r="K178" s="82">
        <v>516</v>
      </c>
      <c r="L178" s="20">
        <f>ROUND(K178/18,2)</f>
        <v>28.67</v>
      </c>
      <c r="M178" s="20"/>
      <c r="N178" s="21">
        <f>SUM(L178,M179:M180)</f>
        <v>28.67</v>
      </c>
      <c r="O178" s="22">
        <f>SUMIF($C$3:$N$3,"SCH",C178:N178)</f>
        <v>2872.35</v>
      </c>
      <c r="P178" s="22">
        <f>ROUND(O178/36,2)</f>
        <v>79.790000000000006</v>
      </c>
      <c r="Q178" s="22"/>
      <c r="R178" s="23">
        <f>SUM(P178,Q179:Q180)</f>
        <v>79.790000000000006</v>
      </c>
    </row>
    <row r="179" spans="1:24" ht="18.75" customHeight="1" x14ac:dyDescent="0.35">
      <c r="A179" s="176"/>
      <c r="B179" s="145" t="s">
        <v>9</v>
      </c>
      <c r="C179" s="140"/>
      <c r="D179" s="20">
        <f t="shared" ref="D179:D180" si="422">ROUND(C179/12,2)</f>
        <v>0</v>
      </c>
      <c r="E179" s="20">
        <f t="shared" ref="E179:E180" si="423">D179*1.8</f>
        <v>0</v>
      </c>
      <c r="F179" s="21"/>
      <c r="G179" s="81"/>
      <c r="H179" s="20">
        <f t="shared" ref="H179:H180" si="424">ROUND(G179/12,2)</f>
        <v>0</v>
      </c>
      <c r="I179" s="20">
        <f t="shared" ref="I179:I180" si="425">H179*1.8</f>
        <v>0</v>
      </c>
      <c r="J179" s="21"/>
      <c r="K179" s="82"/>
      <c r="L179" s="20">
        <f t="shared" ref="L179:L180" si="426">ROUND(K179/12,2)</f>
        <v>0</v>
      </c>
      <c r="M179" s="20">
        <f t="shared" ref="M179:M180" si="427">L179*1.8</f>
        <v>0</v>
      </c>
      <c r="N179" s="21"/>
      <c r="O179" s="22">
        <f>SUMIF($C$3:$N$3,"SCH",C179:N179)</f>
        <v>0</v>
      </c>
      <c r="P179" s="22">
        <f t="shared" ref="P179:P180" si="428">ROUND(O179/24,2)</f>
        <v>0</v>
      </c>
      <c r="Q179" s="22">
        <f t="shared" ref="Q179:Q180" si="429">P179*1.8</f>
        <v>0</v>
      </c>
      <c r="R179" s="23"/>
    </row>
    <row r="180" spans="1:24" ht="18.75" customHeight="1" thickBot="1" x14ac:dyDescent="0.4">
      <c r="A180" s="164"/>
      <c r="B180" s="146" t="s">
        <v>10</v>
      </c>
      <c r="C180" s="298"/>
      <c r="D180" s="24">
        <f t="shared" si="422"/>
        <v>0</v>
      </c>
      <c r="E180" s="24">
        <f t="shared" si="423"/>
        <v>0</v>
      </c>
      <c r="F180" s="25"/>
      <c r="G180" s="83"/>
      <c r="H180" s="24">
        <f t="shared" si="424"/>
        <v>0</v>
      </c>
      <c r="I180" s="24">
        <f t="shared" si="425"/>
        <v>0</v>
      </c>
      <c r="J180" s="25"/>
      <c r="K180" s="84"/>
      <c r="L180" s="24">
        <f t="shared" si="426"/>
        <v>0</v>
      </c>
      <c r="M180" s="24">
        <f t="shared" si="427"/>
        <v>0</v>
      </c>
      <c r="N180" s="25"/>
      <c r="O180" s="92">
        <f>SUMIF($C$3:$N$3,"SCH",C180:N180)</f>
        <v>0</v>
      </c>
      <c r="P180" s="26">
        <f t="shared" si="428"/>
        <v>0</v>
      </c>
      <c r="Q180" s="26">
        <f t="shared" si="429"/>
        <v>0</v>
      </c>
      <c r="R180" s="27"/>
    </row>
    <row r="181" spans="1:24" ht="18.75" customHeight="1" x14ac:dyDescent="0.35">
      <c r="A181" s="148" t="s">
        <v>63</v>
      </c>
      <c r="B181" s="149"/>
      <c r="C181" s="268"/>
      <c r="D181" s="28"/>
      <c r="E181" s="28"/>
      <c r="F181" s="29"/>
      <c r="G181" s="79"/>
      <c r="H181" s="28"/>
      <c r="I181" s="28"/>
      <c r="J181" s="29"/>
      <c r="K181" s="80"/>
      <c r="L181" s="28"/>
      <c r="M181" s="28"/>
      <c r="N181" s="29"/>
      <c r="O181" s="30"/>
      <c r="P181" s="30"/>
      <c r="Q181" s="30"/>
      <c r="R181" s="31"/>
      <c r="S181" s="67"/>
      <c r="V181" s="68"/>
      <c r="W181" s="68"/>
      <c r="X181" s="68"/>
    </row>
    <row r="182" spans="1:24" ht="18.75" customHeight="1" x14ac:dyDescent="0.35">
      <c r="A182" s="153" t="s">
        <v>7</v>
      </c>
      <c r="B182" s="153" t="s">
        <v>8</v>
      </c>
      <c r="C182" s="268"/>
      <c r="D182" s="20">
        <f>ROUND(C182/18,2)</f>
        <v>0</v>
      </c>
      <c r="E182" s="20"/>
      <c r="F182" s="21">
        <f>SUM(D182,E183:E185)</f>
        <v>0</v>
      </c>
      <c r="G182" s="276">
        <v>0</v>
      </c>
      <c r="H182" s="20">
        <f>ROUND(G182/18,2)</f>
        <v>0</v>
      </c>
      <c r="I182" s="20"/>
      <c r="J182" s="21">
        <f>SUM(H182,I183:I185)</f>
        <v>0</v>
      </c>
      <c r="K182" s="82">
        <v>0</v>
      </c>
      <c r="L182" s="20">
        <f>ROUND(K182/18,2)</f>
        <v>0</v>
      </c>
      <c r="M182" s="20"/>
      <c r="N182" s="21">
        <f>SUM(L182,M183:M185)</f>
        <v>0</v>
      </c>
      <c r="O182" s="22">
        <f>SUMIF($C$3:$N$3,"SCH",C182:N182)</f>
        <v>0</v>
      </c>
      <c r="P182" s="22">
        <f>ROUND(O182/36,2)</f>
        <v>0</v>
      </c>
      <c r="Q182" s="22"/>
      <c r="R182" s="23">
        <f>SUM(P182,Q183:Q185)</f>
        <v>0</v>
      </c>
      <c r="V182" s="69"/>
      <c r="W182" s="69"/>
      <c r="X182" s="68"/>
    </row>
    <row r="183" spans="1:24" ht="18.75" customHeight="1" x14ac:dyDescent="0.35">
      <c r="A183" s="172"/>
      <c r="B183" s="145" t="s">
        <v>64</v>
      </c>
      <c r="C183" s="140"/>
      <c r="D183" s="20">
        <f t="shared" ref="D183:D185" si="430">ROUND(C183/12,2)</f>
        <v>0</v>
      </c>
      <c r="E183" s="20">
        <f t="shared" ref="E183:E185" si="431">D183*1.5</f>
        <v>0</v>
      </c>
      <c r="F183" s="21"/>
      <c r="G183" s="276">
        <v>0</v>
      </c>
      <c r="H183" s="20">
        <f t="shared" ref="H183:H185" si="432">ROUND(G183/12,2)</f>
        <v>0</v>
      </c>
      <c r="I183" s="20">
        <f t="shared" ref="I183:I185" si="433">H183*1.5</f>
        <v>0</v>
      </c>
      <c r="J183" s="21"/>
      <c r="K183" s="82">
        <v>0</v>
      </c>
      <c r="L183" s="20">
        <f t="shared" ref="L183:L185" si="434">ROUND(K183/12,2)</f>
        <v>0</v>
      </c>
      <c r="M183" s="20">
        <f t="shared" ref="M183:M185" si="435">L183*1.5</f>
        <v>0</v>
      </c>
      <c r="N183" s="21"/>
      <c r="O183" s="22">
        <f t="shared" ref="O183:O213" si="436">SUMIF($C$3:$N$3,"SCH",C183:N183)</f>
        <v>0</v>
      </c>
      <c r="P183" s="22">
        <f t="shared" ref="P183:P185" si="437">ROUND(O183/24,2)</f>
        <v>0</v>
      </c>
      <c r="Q183" s="22">
        <f t="shared" ref="Q183:Q185" si="438">P183*1.5</f>
        <v>0</v>
      </c>
      <c r="R183" s="23"/>
      <c r="V183" s="68"/>
      <c r="W183" s="68"/>
      <c r="X183" s="68"/>
    </row>
    <row r="184" spans="1:24" ht="18.75" customHeight="1" x14ac:dyDescent="0.35">
      <c r="A184" s="145"/>
      <c r="B184" s="145" t="s">
        <v>9</v>
      </c>
      <c r="C184" s="140"/>
      <c r="D184" s="20">
        <f t="shared" si="430"/>
        <v>0</v>
      </c>
      <c r="E184" s="20">
        <f t="shared" si="431"/>
        <v>0</v>
      </c>
      <c r="F184" s="21"/>
      <c r="G184" s="276">
        <v>0</v>
      </c>
      <c r="H184" s="20">
        <f t="shared" si="432"/>
        <v>0</v>
      </c>
      <c r="I184" s="20">
        <f t="shared" si="433"/>
        <v>0</v>
      </c>
      <c r="J184" s="21"/>
      <c r="K184" s="82">
        <v>0</v>
      </c>
      <c r="L184" s="20">
        <f t="shared" si="434"/>
        <v>0</v>
      </c>
      <c r="M184" s="20">
        <f t="shared" si="435"/>
        <v>0</v>
      </c>
      <c r="N184" s="21"/>
      <c r="O184" s="22">
        <f t="shared" si="436"/>
        <v>0</v>
      </c>
      <c r="P184" s="22">
        <f t="shared" si="437"/>
        <v>0</v>
      </c>
      <c r="Q184" s="22">
        <f t="shared" si="438"/>
        <v>0</v>
      </c>
      <c r="R184" s="23"/>
      <c r="V184" s="68"/>
      <c r="W184" s="68"/>
      <c r="X184" s="68"/>
    </row>
    <row r="185" spans="1:24" ht="18.75" customHeight="1" x14ac:dyDescent="0.35">
      <c r="A185" s="145"/>
      <c r="B185" s="145" t="s">
        <v>10</v>
      </c>
      <c r="C185" s="140"/>
      <c r="D185" s="20">
        <f t="shared" si="430"/>
        <v>0</v>
      </c>
      <c r="E185" s="20">
        <f t="shared" si="431"/>
        <v>0</v>
      </c>
      <c r="F185" s="21"/>
      <c r="G185" s="276">
        <v>0</v>
      </c>
      <c r="H185" s="20">
        <f t="shared" si="432"/>
        <v>0</v>
      </c>
      <c r="I185" s="20">
        <f t="shared" si="433"/>
        <v>0</v>
      </c>
      <c r="J185" s="21"/>
      <c r="K185" s="82">
        <v>0</v>
      </c>
      <c r="L185" s="20">
        <f t="shared" si="434"/>
        <v>0</v>
      </c>
      <c r="M185" s="20">
        <f t="shared" si="435"/>
        <v>0</v>
      </c>
      <c r="N185" s="21"/>
      <c r="O185" s="22">
        <f t="shared" si="436"/>
        <v>0</v>
      </c>
      <c r="P185" s="22">
        <f t="shared" si="437"/>
        <v>0</v>
      </c>
      <c r="Q185" s="22">
        <f t="shared" si="438"/>
        <v>0</v>
      </c>
      <c r="R185" s="23"/>
      <c r="T185" s="70"/>
    </row>
    <row r="186" spans="1:24" ht="18.75" customHeight="1" x14ac:dyDescent="0.35">
      <c r="A186" s="145" t="s">
        <v>65</v>
      </c>
      <c r="B186" s="145" t="s">
        <v>8</v>
      </c>
      <c r="C186" s="140"/>
      <c r="D186" s="20">
        <f>ROUND(C186/18,2)</f>
        <v>0</v>
      </c>
      <c r="E186" s="20"/>
      <c r="F186" s="21">
        <f>SUM(D186,E187:E189)</f>
        <v>0</v>
      </c>
      <c r="G186" s="276">
        <v>518</v>
      </c>
      <c r="H186" s="20">
        <f>ROUND(G186/18,2)</f>
        <v>28.78</v>
      </c>
      <c r="I186" s="20"/>
      <c r="J186" s="21">
        <f>SUM(H186,I187:I189)</f>
        <v>192.535</v>
      </c>
      <c r="K186" s="82">
        <v>0</v>
      </c>
      <c r="L186" s="20">
        <f>ROUND(K186/18,2)</f>
        <v>0</v>
      </c>
      <c r="M186" s="20"/>
      <c r="N186" s="21">
        <f>SUM(L186,M187:M189)</f>
        <v>66.63</v>
      </c>
      <c r="O186" s="22">
        <f t="shared" si="436"/>
        <v>518</v>
      </c>
      <c r="P186" s="22">
        <f>ROUND(O186/36,2)</f>
        <v>14.39</v>
      </c>
      <c r="Q186" s="22"/>
      <c r="R186" s="23">
        <f>SUM(P186,Q187:Q189)</f>
        <v>129.57499999999999</v>
      </c>
    </row>
    <row r="187" spans="1:24" ht="18.75" customHeight="1" x14ac:dyDescent="0.35">
      <c r="A187" s="145"/>
      <c r="B187" s="145" t="s">
        <v>64</v>
      </c>
      <c r="C187" s="140"/>
      <c r="D187" s="20">
        <f t="shared" ref="D187:D189" si="439">ROUND(C187/12,2)</f>
        <v>0</v>
      </c>
      <c r="E187" s="20">
        <f t="shared" ref="E187:E189" si="440">D187*1.5</f>
        <v>0</v>
      </c>
      <c r="F187" s="21"/>
      <c r="G187" s="276">
        <v>672</v>
      </c>
      <c r="H187" s="20">
        <f t="shared" ref="H187:H189" si="441">ROUND(G187/12,2)</f>
        <v>56</v>
      </c>
      <c r="I187" s="20">
        <f t="shared" ref="I187:I189" si="442">H187*1.5</f>
        <v>84</v>
      </c>
      <c r="J187" s="21"/>
      <c r="K187" s="82">
        <v>416</v>
      </c>
      <c r="L187" s="20">
        <f t="shared" ref="L187:L189" si="443">ROUND(K187/12,2)</f>
        <v>34.67</v>
      </c>
      <c r="M187" s="20">
        <f t="shared" ref="M187:M189" si="444">L187*1.5</f>
        <v>52.005000000000003</v>
      </c>
      <c r="N187" s="21"/>
      <c r="O187" s="22">
        <f t="shared" si="436"/>
        <v>1088</v>
      </c>
      <c r="P187" s="22">
        <f t="shared" ref="P187:P189" si="445">ROUND(O187/24,2)</f>
        <v>45.33</v>
      </c>
      <c r="Q187" s="22">
        <f t="shared" ref="Q187:Q189" si="446">P187*1.5</f>
        <v>67.995000000000005</v>
      </c>
      <c r="R187" s="23"/>
    </row>
    <row r="188" spans="1:24" ht="18.75" customHeight="1" x14ac:dyDescent="0.35">
      <c r="A188" s="145"/>
      <c r="B188" s="145" t="s">
        <v>9</v>
      </c>
      <c r="C188" s="140"/>
      <c r="D188" s="20">
        <f t="shared" si="439"/>
        <v>0</v>
      </c>
      <c r="E188" s="20">
        <f t="shared" si="440"/>
        <v>0</v>
      </c>
      <c r="F188" s="21"/>
      <c r="G188" s="276">
        <v>638</v>
      </c>
      <c r="H188" s="20">
        <f t="shared" si="441"/>
        <v>53.17</v>
      </c>
      <c r="I188" s="20">
        <f t="shared" si="442"/>
        <v>79.754999999999995</v>
      </c>
      <c r="J188" s="21"/>
      <c r="K188" s="82">
        <v>117</v>
      </c>
      <c r="L188" s="20">
        <f t="shared" si="443"/>
        <v>9.75</v>
      </c>
      <c r="M188" s="20">
        <f t="shared" si="444"/>
        <v>14.625</v>
      </c>
      <c r="N188" s="21"/>
      <c r="O188" s="22">
        <f t="shared" si="436"/>
        <v>755</v>
      </c>
      <c r="P188" s="22">
        <f t="shared" si="445"/>
        <v>31.46</v>
      </c>
      <c r="Q188" s="22">
        <f t="shared" si="446"/>
        <v>47.19</v>
      </c>
      <c r="R188" s="23"/>
    </row>
    <row r="189" spans="1:24" ht="18.75" customHeight="1" x14ac:dyDescent="0.35">
      <c r="A189" s="145"/>
      <c r="B189" s="145" t="s">
        <v>10</v>
      </c>
      <c r="C189" s="140"/>
      <c r="D189" s="20">
        <f t="shared" si="439"/>
        <v>0</v>
      </c>
      <c r="E189" s="20">
        <f t="shared" si="440"/>
        <v>0</v>
      </c>
      <c r="F189" s="21"/>
      <c r="G189" s="276">
        <v>0</v>
      </c>
      <c r="H189" s="20">
        <f t="shared" si="441"/>
        <v>0</v>
      </c>
      <c r="I189" s="20">
        <f t="shared" si="442"/>
        <v>0</v>
      </c>
      <c r="J189" s="21"/>
      <c r="K189" s="82">
        <v>0</v>
      </c>
      <c r="L189" s="20">
        <f t="shared" si="443"/>
        <v>0</v>
      </c>
      <c r="M189" s="20">
        <f t="shared" si="444"/>
        <v>0</v>
      </c>
      <c r="N189" s="21"/>
      <c r="O189" s="22">
        <f t="shared" si="436"/>
        <v>0</v>
      </c>
      <c r="P189" s="22">
        <f t="shared" si="445"/>
        <v>0</v>
      </c>
      <c r="Q189" s="22">
        <f t="shared" si="446"/>
        <v>0</v>
      </c>
      <c r="R189" s="23"/>
    </row>
    <row r="190" spans="1:24" ht="18.75" customHeight="1" x14ac:dyDescent="0.35">
      <c r="A190" s="145" t="s">
        <v>66</v>
      </c>
      <c r="B190" s="145" t="s">
        <v>8</v>
      </c>
      <c r="C190" s="140"/>
      <c r="D190" s="20">
        <f>ROUND(C190/18,2)</f>
        <v>0</v>
      </c>
      <c r="E190" s="20"/>
      <c r="F190" s="21">
        <f>SUM(D190,E191:E193)</f>
        <v>0</v>
      </c>
      <c r="G190" s="276">
        <v>0</v>
      </c>
      <c r="H190" s="20">
        <f>ROUND(G190/18,2)</f>
        <v>0</v>
      </c>
      <c r="I190" s="20"/>
      <c r="J190" s="21">
        <f>SUM(H190,I191:I193)</f>
        <v>245.25</v>
      </c>
      <c r="K190" s="82">
        <v>0</v>
      </c>
      <c r="L190" s="20">
        <f>ROUND(K190/18,2)</f>
        <v>0</v>
      </c>
      <c r="M190" s="20"/>
      <c r="N190" s="21">
        <f>SUM(L190,M191:M193)</f>
        <v>76.5</v>
      </c>
      <c r="O190" s="22">
        <f t="shared" si="436"/>
        <v>0</v>
      </c>
      <c r="P190" s="22">
        <f>ROUND(O190/36,2)</f>
        <v>0</v>
      </c>
      <c r="Q190" s="22"/>
      <c r="R190" s="23">
        <f>SUM(P190,Q191:Q193)</f>
        <v>160.875</v>
      </c>
      <c r="T190" s="70"/>
    </row>
    <row r="191" spans="1:24" ht="18.75" customHeight="1" x14ac:dyDescent="0.35">
      <c r="A191" s="145"/>
      <c r="B191" s="145" t="s">
        <v>64</v>
      </c>
      <c r="C191" s="140"/>
      <c r="D191" s="20">
        <f t="shared" ref="D191:D193" si="447">ROUND(C191/12,2)</f>
        <v>0</v>
      </c>
      <c r="E191" s="20">
        <f t="shared" ref="E191:E193" si="448">D191*1.5</f>
        <v>0</v>
      </c>
      <c r="F191" s="21"/>
      <c r="G191" s="276">
        <v>0</v>
      </c>
      <c r="H191" s="20">
        <f t="shared" ref="H191:H193" si="449">ROUND(G191/12,2)</f>
        <v>0</v>
      </c>
      <c r="I191" s="20">
        <f t="shared" ref="I191:I193" si="450">H191*1.5</f>
        <v>0</v>
      </c>
      <c r="J191" s="21"/>
      <c r="K191" s="82">
        <v>0</v>
      </c>
      <c r="L191" s="20">
        <f t="shared" ref="L191:L193" si="451">ROUND(K191/12,2)</f>
        <v>0</v>
      </c>
      <c r="M191" s="20">
        <f t="shared" ref="M191:M193" si="452">L191*1.5</f>
        <v>0</v>
      </c>
      <c r="N191" s="21"/>
      <c r="O191" s="22">
        <f t="shared" si="436"/>
        <v>0</v>
      </c>
      <c r="P191" s="22">
        <f t="shared" ref="P191:P193" si="453">ROUND(O191/24,2)</f>
        <v>0</v>
      </c>
      <c r="Q191" s="22">
        <f t="shared" ref="Q191:Q193" si="454">P191*1.5</f>
        <v>0</v>
      </c>
      <c r="R191" s="23"/>
    </row>
    <row r="192" spans="1:24" ht="18.75" customHeight="1" x14ac:dyDescent="0.35">
      <c r="A192" s="145"/>
      <c r="B192" s="145" t="s">
        <v>9</v>
      </c>
      <c r="C192" s="140"/>
      <c r="D192" s="20">
        <f t="shared" si="447"/>
        <v>0</v>
      </c>
      <c r="E192" s="20">
        <f t="shared" si="448"/>
        <v>0</v>
      </c>
      <c r="F192" s="21"/>
      <c r="G192" s="276">
        <v>1956</v>
      </c>
      <c r="H192" s="20">
        <f t="shared" si="449"/>
        <v>163</v>
      </c>
      <c r="I192" s="20">
        <f t="shared" si="450"/>
        <v>244.5</v>
      </c>
      <c r="J192" s="21"/>
      <c r="K192" s="82">
        <v>612</v>
      </c>
      <c r="L192" s="20">
        <f t="shared" si="451"/>
        <v>51</v>
      </c>
      <c r="M192" s="20">
        <f t="shared" si="452"/>
        <v>76.5</v>
      </c>
      <c r="N192" s="21"/>
      <c r="O192" s="22">
        <f t="shared" si="436"/>
        <v>2568</v>
      </c>
      <c r="P192" s="22">
        <f t="shared" si="453"/>
        <v>107</v>
      </c>
      <c r="Q192" s="22">
        <f t="shared" si="454"/>
        <v>160.5</v>
      </c>
      <c r="R192" s="23"/>
    </row>
    <row r="193" spans="1:22" ht="18.75" customHeight="1" x14ac:dyDescent="0.35">
      <c r="A193" s="154"/>
      <c r="B193" s="154" t="s">
        <v>10</v>
      </c>
      <c r="C193" s="97"/>
      <c r="D193" s="20">
        <f t="shared" si="447"/>
        <v>0</v>
      </c>
      <c r="E193" s="20">
        <f t="shared" si="448"/>
        <v>0</v>
      </c>
      <c r="F193" s="21"/>
      <c r="G193" s="276">
        <v>6</v>
      </c>
      <c r="H193" s="20">
        <f t="shared" si="449"/>
        <v>0.5</v>
      </c>
      <c r="I193" s="20">
        <f t="shared" si="450"/>
        <v>0.75</v>
      </c>
      <c r="J193" s="21"/>
      <c r="K193" s="82">
        <v>0</v>
      </c>
      <c r="L193" s="20">
        <f t="shared" si="451"/>
        <v>0</v>
      </c>
      <c r="M193" s="20">
        <f t="shared" si="452"/>
        <v>0</v>
      </c>
      <c r="N193" s="21"/>
      <c r="O193" s="22">
        <f t="shared" si="436"/>
        <v>6</v>
      </c>
      <c r="P193" s="22">
        <f t="shared" si="453"/>
        <v>0.25</v>
      </c>
      <c r="Q193" s="22">
        <f t="shared" si="454"/>
        <v>0.375</v>
      </c>
      <c r="R193" s="23"/>
    </row>
    <row r="194" spans="1:22" ht="18.75" customHeight="1" x14ac:dyDescent="0.35">
      <c r="A194" s="145" t="s">
        <v>67</v>
      </c>
      <c r="B194" s="145" t="s">
        <v>8</v>
      </c>
      <c r="C194" s="140"/>
      <c r="D194" s="20">
        <f>ROUND(C194/18,2)</f>
        <v>0</v>
      </c>
      <c r="E194" s="20"/>
      <c r="F194" s="21">
        <f>SUM(D194,E195:E197)</f>
        <v>0</v>
      </c>
      <c r="G194" s="276">
        <v>616</v>
      </c>
      <c r="H194" s="20">
        <f>ROUND(G194/18,2)</f>
        <v>34.22</v>
      </c>
      <c r="I194" s="20"/>
      <c r="J194" s="21">
        <f>SUM(H194,I195:I197)</f>
        <v>36.844999999999999</v>
      </c>
      <c r="K194" s="82">
        <v>280</v>
      </c>
      <c r="L194" s="20">
        <f>ROUND(K194/18,2)</f>
        <v>15.56</v>
      </c>
      <c r="M194" s="20"/>
      <c r="N194" s="21">
        <f>SUM(L194,M195:M197)</f>
        <v>15.56</v>
      </c>
      <c r="O194" s="22">
        <f t="shared" si="436"/>
        <v>896</v>
      </c>
      <c r="P194" s="22">
        <f>ROUND(O194/36,2)</f>
        <v>24.89</v>
      </c>
      <c r="Q194" s="22"/>
      <c r="R194" s="23">
        <f>SUM(P194,Q195:Q197)</f>
        <v>26.21</v>
      </c>
      <c r="V194" s="69"/>
    </row>
    <row r="195" spans="1:22" ht="18.75" customHeight="1" x14ac:dyDescent="0.35">
      <c r="A195" s="145"/>
      <c r="B195" s="145" t="s">
        <v>64</v>
      </c>
      <c r="C195" s="140"/>
      <c r="D195" s="20">
        <f t="shared" ref="D195:D197" si="455">ROUND(C195/12,2)</f>
        <v>0</v>
      </c>
      <c r="E195" s="20">
        <f t="shared" ref="E195:E197" si="456">D195*1.5</f>
        <v>0</v>
      </c>
      <c r="F195" s="21"/>
      <c r="G195" s="276">
        <v>0</v>
      </c>
      <c r="H195" s="20">
        <f t="shared" ref="H195:H197" si="457">ROUND(G195/12,2)</f>
        <v>0</v>
      </c>
      <c r="I195" s="20">
        <f t="shared" ref="I195:I197" si="458">H195*1.5</f>
        <v>0</v>
      </c>
      <c r="J195" s="21"/>
      <c r="K195" s="82">
        <v>0</v>
      </c>
      <c r="L195" s="20">
        <f t="shared" ref="L195:L197" si="459">ROUND(K195/12,2)</f>
        <v>0</v>
      </c>
      <c r="M195" s="20">
        <f t="shared" ref="M195:M197" si="460">L195*1.5</f>
        <v>0</v>
      </c>
      <c r="N195" s="21"/>
      <c r="O195" s="22">
        <f t="shared" si="436"/>
        <v>0</v>
      </c>
      <c r="P195" s="22">
        <f t="shared" ref="P195:P197" si="461">ROUND(O195/24,2)</f>
        <v>0</v>
      </c>
      <c r="Q195" s="22">
        <f t="shared" ref="Q195:Q197" si="462">P195*1.5</f>
        <v>0</v>
      </c>
      <c r="R195" s="23"/>
    </row>
    <row r="196" spans="1:22" ht="18.75" customHeight="1" x14ac:dyDescent="0.35">
      <c r="A196" s="145"/>
      <c r="B196" s="145" t="s">
        <v>9</v>
      </c>
      <c r="C196" s="140"/>
      <c r="D196" s="20">
        <f t="shared" si="455"/>
        <v>0</v>
      </c>
      <c r="E196" s="20">
        <f t="shared" si="456"/>
        <v>0</v>
      </c>
      <c r="F196" s="21"/>
      <c r="G196" s="276">
        <v>21</v>
      </c>
      <c r="H196" s="20">
        <f t="shared" si="457"/>
        <v>1.75</v>
      </c>
      <c r="I196" s="20">
        <f t="shared" si="458"/>
        <v>2.625</v>
      </c>
      <c r="J196" s="21"/>
      <c r="K196" s="82">
        <v>0</v>
      </c>
      <c r="L196" s="20">
        <f t="shared" si="459"/>
        <v>0</v>
      </c>
      <c r="M196" s="20">
        <f t="shared" si="460"/>
        <v>0</v>
      </c>
      <c r="N196" s="21"/>
      <c r="O196" s="22">
        <f t="shared" si="436"/>
        <v>21</v>
      </c>
      <c r="P196" s="22">
        <f t="shared" si="461"/>
        <v>0.88</v>
      </c>
      <c r="Q196" s="22">
        <f t="shared" si="462"/>
        <v>1.32</v>
      </c>
      <c r="R196" s="23"/>
      <c r="V196" s="69"/>
    </row>
    <row r="197" spans="1:22" ht="18.75" customHeight="1" x14ac:dyDescent="0.35">
      <c r="A197" s="145"/>
      <c r="B197" s="145" t="s">
        <v>10</v>
      </c>
      <c r="C197" s="140"/>
      <c r="D197" s="20">
        <f t="shared" si="455"/>
        <v>0</v>
      </c>
      <c r="E197" s="20">
        <f t="shared" si="456"/>
        <v>0</v>
      </c>
      <c r="F197" s="21"/>
      <c r="G197" s="276">
        <v>0</v>
      </c>
      <c r="H197" s="20">
        <f t="shared" si="457"/>
        <v>0</v>
      </c>
      <c r="I197" s="20">
        <f t="shared" si="458"/>
        <v>0</v>
      </c>
      <c r="J197" s="21"/>
      <c r="K197" s="82">
        <v>0</v>
      </c>
      <c r="L197" s="20">
        <f t="shared" si="459"/>
        <v>0</v>
      </c>
      <c r="M197" s="20">
        <f t="shared" si="460"/>
        <v>0</v>
      </c>
      <c r="N197" s="21"/>
      <c r="O197" s="22">
        <f t="shared" si="436"/>
        <v>0</v>
      </c>
      <c r="P197" s="22">
        <f t="shared" si="461"/>
        <v>0</v>
      </c>
      <c r="Q197" s="22">
        <f t="shared" si="462"/>
        <v>0</v>
      </c>
      <c r="R197" s="23"/>
    </row>
    <row r="198" spans="1:22" ht="18.75" customHeight="1" x14ac:dyDescent="0.35">
      <c r="A198" s="145" t="s">
        <v>68</v>
      </c>
      <c r="B198" s="145" t="s">
        <v>8</v>
      </c>
      <c r="C198" s="140"/>
      <c r="D198" s="20">
        <f>ROUND(C198/18,2)</f>
        <v>0</v>
      </c>
      <c r="E198" s="20"/>
      <c r="F198" s="21">
        <f>SUM(D198,E199:E201)</f>
        <v>0</v>
      </c>
      <c r="G198" s="276">
        <v>1809</v>
      </c>
      <c r="H198" s="20">
        <f>ROUND(G198/18,2)</f>
        <v>100.5</v>
      </c>
      <c r="I198" s="20"/>
      <c r="J198" s="21">
        <f>SUM(H198,I199:I201)</f>
        <v>105.75</v>
      </c>
      <c r="K198" s="82">
        <v>933</v>
      </c>
      <c r="L198" s="20">
        <f>ROUND(K198/18,2)</f>
        <v>51.83</v>
      </c>
      <c r="M198" s="20"/>
      <c r="N198" s="21">
        <f>SUM(L198,M199:M201)</f>
        <v>55.204999999999998</v>
      </c>
      <c r="O198" s="22">
        <f t="shared" si="436"/>
        <v>2742</v>
      </c>
      <c r="P198" s="22">
        <f>ROUND(O198/36,2)</f>
        <v>76.17</v>
      </c>
      <c r="Q198" s="22"/>
      <c r="R198" s="23">
        <f>SUM(P198,Q199:Q201)</f>
        <v>80.490000000000009</v>
      </c>
    </row>
    <row r="199" spans="1:22" ht="18.75" customHeight="1" x14ac:dyDescent="0.35">
      <c r="A199" s="145"/>
      <c r="B199" s="145" t="s">
        <v>64</v>
      </c>
      <c r="C199" s="140"/>
      <c r="D199" s="20">
        <f t="shared" ref="D199:D201" si="463">ROUND(C199/12,2)</f>
        <v>0</v>
      </c>
      <c r="E199" s="20">
        <f t="shared" ref="E199:E201" si="464">D199*1.5</f>
        <v>0</v>
      </c>
      <c r="F199" s="21"/>
      <c r="G199" s="276">
        <v>0</v>
      </c>
      <c r="H199" s="20">
        <f t="shared" ref="H199:H201" si="465">ROUND(G199/12,2)</f>
        <v>0</v>
      </c>
      <c r="I199" s="20">
        <f t="shared" ref="I199:I201" si="466">H199*1.5</f>
        <v>0</v>
      </c>
      <c r="J199" s="21"/>
      <c r="K199" s="82">
        <v>0</v>
      </c>
      <c r="L199" s="20">
        <f t="shared" ref="L199:L201" si="467">ROUND(K199/12,2)</f>
        <v>0</v>
      </c>
      <c r="M199" s="20">
        <f t="shared" ref="M199:M201" si="468">L199*1.5</f>
        <v>0</v>
      </c>
      <c r="N199" s="21"/>
      <c r="O199" s="22">
        <f t="shared" si="436"/>
        <v>0</v>
      </c>
      <c r="P199" s="22">
        <f t="shared" ref="P199:P201" si="469">ROUND(O199/24,2)</f>
        <v>0</v>
      </c>
      <c r="Q199" s="22">
        <f t="shared" ref="Q199:Q201" si="470">P199*1.5</f>
        <v>0</v>
      </c>
      <c r="R199" s="23"/>
    </row>
    <row r="200" spans="1:22" ht="18.75" customHeight="1" x14ac:dyDescent="0.35">
      <c r="A200" s="145"/>
      <c r="B200" s="145" t="s">
        <v>9</v>
      </c>
      <c r="C200" s="140"/>
      <c r="D200" s="20">
        <f t="shared" si="463"/>
        <v>0</v>
      </c>
      <c r="E200" s="20">
        <f t="shared" si="464"/>
        <v>0</v>
      </c>
      <c r="F200" s="21"/>
      <c r="G200" s="276">
        <v>42</v>
      </c>
      <c r="H200" s="20">
        <f t="shared" si="465"/>
        <v>3.5</v>
      </c>
      <c r="I200" s="20">
        <f t="shared" si="466"/>
        <v>5.25</v>
      </c>
      <c r="J200" s="21"/>
      <c r="K200" s="82">
        <v>27</v>
      </c>
      <c r="L200" s="20">
        <f t="shared" si="467"/>
        <v>2.25</v>
      </c>
      <c r="M200" s="20">
        <f t="shared" si="468"/>
        <v>3.375</v>
      </c>
      <c r="N200" s="21"/>
      <c r="O200" s="22">
        <f t="shared" si="436"/>
        <v>69</v>
      </c>
      <c r="P200" s="22">
        <f t="shared" si="469"/>
        <v>2.88</v>
      </c>
      <c r="Q200" s="22">
        <f t="shared" si="470"/>
        <v>4.32</v>
      </c>
      <c r="R200" s="23"/>
      <c r="V200" s="68"/>
    </row>
    <row r="201" spans="1:22" ht="18.75" customHeight="1" x14ac:dyDescent="0.35">
      <c r="A201" s="145"/>
      <c r="B201" s="145" t="s">
        <v>10</v>
      </c>
      <c r="C201" s="140"/>
      <c r="D201" s="20">
        <f t="shared" si="463"/>
        <v>0</v>
      </c>
      <c r="E201" s="20">
        <f t="shared" si="464"/>
        <v>0</v>
      </c>
      <c r="F201" s="21"/>
      <c r="G201" s="276">
        <v>0</v>
      </c>
      <c r="H201" s="20">
        <f t="shared" si="465"/>
        <v>0</v>
      </c>
      <c r="I201" s="20">
        <f t="shared" si="466"/>
        <v>0</v>
      </c>
      <c r="J201" s="21"/>
      <c r="K201" s="82">
        <v>0</v>
      </c>
      <c r="L201" s="20">
        <f t="shared" si="467"/>
        <v>0</v>
      </c>
      <c r="M201" s="20">
        <f t="shared" si="468"/>
        <v>0</v>
      </c>
      <c r="N201" s="21"/>
      <c r="O201" s="22">
        <f t="shared" si="436"/>
        <v>0</v>
      </c>
      <c r="P201" s="22">
        <f t="shared" si="469"/>
        <v>0</v>
      </c>
      <c r="Q201" s="22">
        <f t="shared" si="470"/>
        <v>0</v>
      </c>
      <c r="R201" s="23"/>
      <c r="V201" s="68"/>
    </row>
    <row r="202" spans="1:22" ht="18.75" customHeight="1" x14ac:dyDescent="0.35">
      <c r="A202" s="153" t="s">
        <v>69</v>
      </c>
      <c r="B202" s="153" t="s">
        <v>8</v>
      </c>
      <c r="C202" s="268"/>
      <c r="D202" s="20">
        <f>ROUND(C202/18,2)</f>
        <v>0</v>
      </c>
      <c r="E202" s="20"/>
      <c r="F202" s="21">
        <f>SUM(D202,E203:E205)</f>
        <v>0</v>
      </c>
      <c r="G202" s="276">
        <v>0</v>
      </c>
      <c r="H202" s="20">
        <f>ROUND(G202/18,2)</f>
        <v>0</v>
      </c>
      <c r="I202" s="20"/>
      <c r="J202" s="21">
        <f>SUM(H202,I203:I205)</f>
        <v>3.75</v>
      </c>
      <c r="K202" s="82">
        <v>0</v>
      </c>
      <c r="L202" s="20">
        <f>ROUND(K202/18,2)</f>
        <v>0</v>
      </c>
      <c r="M202" s="20"/>
      <c r="N202" s="21">
        <f>SUM(L202,M203:M205)</f>
        <v>0</v>
      </c>
      <c r="O202" s="22">
        <f t="shared" si="436"/>
        <v>0</v>
      </c>
      <c r="P202" s="22">
        <f>ROUND(O202/36,2)</f>
        <v>0</v>
      </c>
      <c r="Q202" s="22"/>
      <c r="R202" s="23">
        <f>SUM(P202,Q203:Q205)</f>
        <v>1.875</v>
      </c>
    </row>
    <row r="203" spans="1:22" ht="18.75" customHeight="1" x14ac:dyDescent="0.35">
      <c r="A203" s="145"/>
      <c r="B203" s="145" t="s">
        <v>64</v>
      </c>
      <c r="C203" s="140"/>
      <c r="D203" s="20">
        <f t="shared" ref="D203:D205" si="471">ROUND(C203/12,2)</f>
        <v>0</v>
      </c>
      <c r="E203" s="20">
        <f t="shared" ref="E203:E205" si="472">D203*1.5</f>
        <v>0</v>
      </c>
      <c r="F203" s="21"/>
      <c r="G203" s="276">
        <v>0</v>
      </c>
      <c r="H203" s="20">
        <f t="shared" ref="H203" si="473">ROUND(G203/12,2)</f>
        <v>0</v>
      </c>
      <c r="I203" s="20"/>
      <c r="J203" s="21"/>
      <c r="K203" s="82">
        <v>0</v>
      </c>
      <c r="L203" s="20">
        <f t="shared" ref="L203:L205" si="474">ROUND(K203/12,2)</f>
        <v>0</v>
      </c>
      <c r="M203" s="20">
        <f t="shared" ref="M203:M205" si="475">L203*1.5</f>
        <v>0</v>
      </c>
      <c r="N203" s="21"/>
      <c r="O203" s="22">
        <f t="shared" si="436"/>
        <v>0</v>
      </c>
      <c r="P203" s="22">
        <f t="shared" ref="P203:P205" si="476">ROUND(O203/24,2)</f>
        <v>0</v>
      </c>
      <c r="Q203" s="22">
        <f t="shared" ref="Q203:Q205" si="477">P203*1.5</f>
        <v>0</v>
      </c>
      <c r="R203" s="23"/>
    </row>
    <row r="204" spans="1:22" ht="18.75" customHeight="1" x14ac:dyDescent="0.35">
      <c r="A204" s="145"/>
      <c r="B204" s="145" t="s">
        <v>9</v>
      </c>
      <c r="C204" s="140"/>
      <c r="D204" s="20">
        <f t="shared" si="471"/>
        <v>0</v>
      </c>
      <c r="E204" s="20">
        <f t="shared" si="472"/>
        <v>0</v>
      </c>
      <c r="F204" s="21"/>
      <c r="G204" s="276">
        <v>30</v>
      </c>
      <c r="H204" s="20">
        <f t="shared" ref="H204" si="478">ROUND(G204/12,2)</f>
        <v>2.5</v>
      </c>
      <c r="I204" s="20">
        <f t="shared" ref="I204" si="479">H204*1.5</f>
        <v>3.75</v>
      </c>
      <c r="J204" s="21"/>
      <c r="K204" s="82">
        <v>0</v>
      </c>
      <c r="L204" s="20">
        <f t="shared" si="474"/>
        <v>0</v>
      </c>
      <c r="M204" s="20">
        <f t="shared" si="475"/>
        <v>0</v>
      </c>
      <c r="N204" s="21"/>
      <c r="O204" s="22">
        <f t="shared" si="436"/>
        <v>30</v>
      </c>
      <c r="P204" s="22">
        <f t="shared" si="476"/>
        <v>1.25</v>
      </c>
      <c r="Q204" s="22">
        <f t="shared" si="477"/>
        <v>1.875</v>
      </c>
      <c r="R204" s="23"/>
      <c r="V204" s="68"/>
    </row>
    <row r="205" spans="1:22" ht="18.75" customHeight="1" x14ac:dyDescent="0.35">
      <c r="A205" s="154"/>
      <c r="B205" s="154" t="s">
        <v>10</v>
      </c>
      <c r="C205" s="97"/>
      <c r="D205" s="20">
        <f t="shared" si="471"/>
        <v>0</v>
      </c>
      <c r="E205" s="20">
        <f t="shared" si="472"/>
        <v>0</v>
      </c>
      <c r="F205" s="21"/>
      <c r="G205" s="276">
        <v>0</v>
      </c>
      <c r="H205" s="20">
        <f t="shared" ref="H205" si="480">ROUND(G205/12,2)</f>
        <v>0</v>
      </c>
      <c r="I205" s="20">
        <f t="shared" ref="I205" si="481">H205*1.5</f>
        <v>0</v>
      </c>
      <c r="J205" s="21"/>
      <c r="K205" s="82">
        <v>0</v>
      </c>
      <c r="L205" s="20">
        <f t="shared" si="474"/>
        <v>0</v>
      </c>
      <c r="M205" s="20">
        <f t="shared" si="475"/>
        <v>0</v>
      </c>
      <c r="N205" s="21"/>
      <c r="O205" s="22">
        <f t="shared" si="436"/>
        <v>0</v>
      </c>
      <c r="P205" s="22">
        <f t="shared" si="476"/>
        <v>0</v>
      </c>
      <c r="Q205" s="22">
        <f t="shared" si="477"/>
        <v>0</v>
      </c>
      <c r="R205" s="23"/>
    </row>
    <row r="206" spans="1:22" ht="18.75" customHeight="1" x14ac:dyDescent="0.35">
      <c r="A206" s="145" t="s">
        <v>70</v>
      </c>
      <c r="B206" s="145" t="s">
        <v>8</v>
      </c>
      <c r="C206" s="140"/>
      <c r="D206" s="20">
        <f>ROUND(C206/18,2)</f>
        <v>0</v>
      </c>
      <c r="E206" s="20"/>
      <c r="F206" s="21">
        <f>SUM(D206,E207:E209)</f>
        <v>0</v>
      </c>
      <c r="G206" s="276">
        <v>390</v>
      </c>
      <c r="H206" s="20">
        <f>ROUND(G206/18,2)</f>
        <v>21.67</v>
      </c>
      <c r="I206" s="20"/>
      <c r="J206" s="21">
        <f>SUM(H206,I207:I209)</f>
        <v>101.66500000000001</v>
      </c>
      <c r="K206" s="82">
        <v>0</v>
      </c>
      <c r="L206" s="20">
        <f>ROUND(K206/18,2)</f>
        <v>0</v>
      </c>
      <c r="M206" s="20"/>
      <c r="N206" s="21">
        <f>SUM(L206,M207:M209)</f>
        <v>5.25</v>
      </c>
      <c r="O206" s="22">
        <f t="shared" si="436"/>
        <v>390</v>
      </c>
      <c r="P206" s="22">
        <f>ROUND(O206/36,2)</f>
        <v>10.83</v>
      </c>
      <c r="Q206" s="22"/>
      <c r="R206" s="23">
        <f>SUM(P206,Q207:Q209)</f>
        <v>53.46</v>
      </c>
    </row>
    <row r="207" spans="1:22" ht="18.75" customHeight="1" x14ac:dyDescent="0.35">
      <c r="A207" s="145"/>
      <c r="B207" s="145" t="s">
        <v>64</v>
      </c>
      <c r="C207" s="140"/>
      <c r="D207" s="20">
        <f t="shared" ref="D207:D209" si="482">ROUND(C207/12,2)</f>
        <v>0</v>
      </c>
      <c r="E207" s="20">
        <f t="shared" ref="E207:E209" si="483">D207*1.5</f>
        <v>0</v>
      </c>
      <c r="F207" s="21"/>
      <c r="G207" s="276">
        <v>0</v>
      </c>
      <c r="H207" s="20">
        <f t="shared" ref="H207:H209" si="484">ROUND(G207/12,2)</f>
        <v>0</v>
      </c>
      <c r="I207" s="20">
        <f t="shared" ref="I207:I209" si="485">H207*1.5</f>
        <v>0</v>
      </c>
      <c r="J207" s="21"/>
      <c r="K207" s="82">
        <v>0</v>
      </c>
      <c r="L207" s="20">
        <f t="shared" ref="L207:L209" si="486">ROUND(K207/12,2)</f>
        <v>0</v>
      </c>
      <c r="M207" s="20">
        <f t="shared" ref="M207:M209" si="487">L207*1.5</f>
        <v>0</v>
      </c>
      <c r="N207" s="21"/>
      <c r="O207" s="22">
        <f t="shared" si="436"/>
        <v>0</v>
      </c>
      <c r="P207" s="22">
        <f t="shared" ref="P207:P209" si="488">ROUND(O207/24,2)</f>
        <v>0</v>
      </c>
      <c r="Q207" s="22">
        <f t="shared" ref="Q207:Q209" si="489">P207*1.5</f>
        <v>0</v>
      </c>
      <c r="R207" s="23"/>
    </row>
    <row r="208" spans="1:22" ht="18.75" customHeight="1" x14ac:dyDescent="0.35">
      <c r="A208" s="145"/>
      <c r="B208" s="145" t="s">
        <v>9</v>
      </c>
      <c r="C208" s="140"/>
      <c r="D208" s="20">
        <f t="shared" si="482"/>
        <v>0</v>
      </c>
      <c r="E208" s="20">
        <f t="shared" si="483"/>
        <v>0</v>
      </c>
      <c r="F208" s="21"/>
      <c r="G208" s="276">
        <v>640</v>
      </c>
      <c r="H208" s="20">
        <f t="shared" si="484"/>
        <v>53.33</v>
      </c>
      <c r="I208" s="20">
        <f t="shared" si="485"/>
        <v>79.995000000000005</v>
      </c>
      <c r="J208" s="21"/>
      <c r="K208" s="82">
        <v>42</v>
      </c>
      <c r="L208" s="20">
        <f t="shared" si="486"/>
        <v>3.5</v>
      </c>
      <c r="M208" s="20">
        <f t="shared" si="487"/>
        <v>5.25</v>
      </c>
      <c r="N208" s="21"/>
      <c r="O208" s="22">
        <f t="shared" si="436"/>
        <v>682</v>
      </c>
      <c r="P208" s="22">
        <f t="shared" si="488"/>
        <v>28.42</v>
      </c>
      <c r="Q208" s="22">
        <f t="shared" si="489"/>
        <v>42.63</v>
      </c>
      <c r="R208" s="23"/>
      <c r="V208" s="68"/>
    </row>
    <row r="209" spans="1:18" ht="18.75" customHeight="1" x14ac:dyDescent="0.35">
      <c r="A209" s="145"/>
      <c r="B209" s="145" t="s">
        <v>10</v>
      </c>
      <c r="C209" s="140"/>
      <c r="D209" s="20">
        <f t="shared" si="482"/>
        <v>0</v>
      </c>
      <c r="E209" s="20">
        <f t="shared" si="483"/>
        <v>0</v>
      </c>
      <c r="F209" s="21"/>
      <c r="G209" s="276">
        <v>0</v>
      </c>
      <c r="H209" s="20">
        <f t="shared" si="484"/>
        <v>0</v>
      </c>
      <c r="I209" s="20">
        <f t="shared" si="485"/>
        <v>0</v>
      </c>
      <c r="J209" s="21"/>
      <c r="K209" s="82">
        <v>0</v>
      </c>
      <c r="L209" s="20">
        <f t="shared" si="486"/>
        <v>0</v>
      </c>
      <c r="M209" s="20">
        <f t="shared" si="487"/>
        <v>0</v>
      </c>
      <c r="N209" s="21"/>
      <c r="O209" s="22">
        <f t="shared" si="436"/>
        <v>0</v>
      </c>
      <c r="P209" s="22">
        <f t="shared" si="488"/>
        <v>0</v>
      </c>
      <c r="Q209" s="22">
        <f t="shared" si="489"/>
        <v>0</v>
      </c>
      <c r="R209" s="23"/>
    </row>
    <row r="210" spans="1:18" ht="18.75" customHeight="1" x14ac:dyDescent="0.35">
      <c r="A210" s="177" t="s">
        <v>22</v>
      </c>
      <c r="B210" s="151" t="s">
        <v>8</v>
      </c>
      <c r="C210" s="95">
        <f>SUMIF($B$181:$B$209,"ปริญญาตรี",C181:C209)</f>
        <v>0</v>
      </c>
      <c r="D210" s="32">
        <f>ROUND(C210/18,2)</f>
        <v>0</v>
      </c>
      <c r="E210" s="32"/>
      <c r="F210" s="33">
        <f>SUM(D210,E211:E213)</f>
        <v>0</v>
      </c>
      <c r="G210" s="95">
        <f>SUMIF($B$181:$B$209,"ปริญญาตรี",G181:G209)</f>
        <v>3333</v>
      </c>
      <c r="H210" s="32">
        <f>ROUND(G210/18,2)</f>
        <v>185.17</v>
      </c>
      <c r="I210" s="32"/>
      <c r="J210" s="33">
        <f>SUM(H210,I211:I213)</f>
        <v>685.79499999999996</v>
      </c>
      <c r="K210" s="95">
        <f>SUMIF($B$181:$B$209,"ปริญญาตรี",K181:K209)</f>
        <v>1213</v>
      </c>
      <c r="L210" s="32">
        <f>ROUND(K210/18,2)</f>
        <v>67.39</v>
      </c>
      <c r="M210" s="32"/>
      <c r="N210" s="33">
        <f>SUM(L210,M211:M213)</f>
        <v>219.14500000000001</v>
      </c>
      <c r="O210" s="22">
        <f t="shared" si="436"/>
        <v>4546</v>
      </c>
      <c r="P210" s="34">
        <f>ROUND(O210/36,2)</f>
        <v>126.28</v>
      </c>
      <c r="Q210" s="34"/>
      <c r="R210" s="23">
        <f>SUM(P210,Q211:Q213)</f>
        <v>452.47</v>
      </c>
    </row>
    <row r="211" spans="1:18" ht="18.75" customHeight="1" x14ac:dyDescent="0.35">
      <c r="A211" s="174" t="s">
        <v>22</v>
      </c>
      <c r="B211" s="151" t="s">
        <v>64</v>
      </c>
      <c r="C211" s="95">
        <f>SUMIF($B$181:$B$209,"ป.บัณฑิต",C181:C209)</f>
        <v>0</v>
      </c>
      <c r="D211" s="32">
        <f>ROUND(C211/12,2)</f>
        <v>0</v>
      </c>
      <c r="E211" s="32">
        <f t="shared" ref="E211:E213" si="490">D211*1.5</f>
        <v>0</v>
      </c>
      <c r="F211" s="33"/>
      <c r="G211" s="95">
        <f>SUMIF($B$181:$B$209,"ป.บัณฑิต",G181:G209)</f>
        <v>672</v>
      </c>
      <c r="H211" s="32">
        <f>ROUND(G211/12,2)</f>
        <v>56</v>
      </c>
      <c r="I211" s="32">
        <f t="shared" ref="I211:I213" si="491">H211*1.5</f>
        <v>84</v>
      </c>
      <c r="J211" s="33"/>
      <c r="K211" s="95">
        <f>SUMIF($B$181:$B$209,"ป.บัณฑิต",K181:K209)</f>
        <v>416</v>
      </c>
      <c r="L211" s="32">
        <f>ROUND(K211/12,2)</f>
        <v>34.67</v>
      </c>
      <c r="M211" s="32">
        <f t="shared" ref="M211:M213" si="492">L211*1.5</f>
        <v>52.005000000000003</v>
      </c>
      <c r="N211" s="33"/>
      <c r="O211" s="22">
        <f t="shared" si="436"/>
        <v>1088</v>
      </c>
      <c r="P211" s="34">
        <f t="shared" ref="P211:P213" si="493">ROUND(O211/24,2)</f>
        <v>45.33</v>
      </c>
      <c r="Q211" s="34">
        <f t="shared" ref="Q211:Q213" si="494">P211*1.5</f>
        <v>67.995000000000005</v>
      </c>
      <c r="R211" s="23"/>
    </row>
    <row r="212" spans="1:18" ht="18.75" customHeight="1" x14ac:dyDescent="0.35">
      <c r="A212" s="174" t="s">
        <v>22</v>
      </c>
      <c r="B212" s="151" t="s">
        <v>9</v>
      </c>
      <c r="C212" s="93">
        <f>SUMIF($B$181:$B$209,"ปริญญาโท",C181:C209)</f>
        <v>0</v>
      </c>
      <c r="D212" s="32">
        <f t="shared" ref="D212:D213" si="495">ROUND(C212/12,2)</f>
        <v>0</v>
      </c>
      <c r="E212" s="32">
        <f t="shared" si="490"/>
        <v>0</v>
      </c>
      <c r="F212" s="33"/>
      <c r="G212" s="93">
        <f>SUMIF($B$181:$B$209,"ปริญญาโท",G181:G209)</f>
        <v>3327</v>
      </c>
      <c r="H212" s="32">
        <f t="shared" ref="H212:H213" si="496">ROUND(G212/12,2)</f>
        <v>277.25</v>
      </c>
      <c r="I212" s="32">
        <f t="shared" si="491"/>
        <v>415.875</v>
      </c>
      <c r="J212" s="33"/>
      <c r="K212" s="93">
        <f>SUMIF($B$181:$B$209,"ปริญญาโท",K181:K209)</f>
        <v>798</v>
      </c>
      <c r="L212" s="32">
        <f t="shared" ref="L212:L213" si="497">ROUND(K212/12,2)</f>
        <v>66.5</v>
      </c>
      <c r="M212" s="32">
        <f t="shared" si="492"/>
        <v>99.75</v>
      </c>
      <c r="N212" s="33"/>
      <c r="O212" s="22">
        <f t="shared" si="436"/>
        <v>4125</v>
      </c>
      <c r="P212" s="34">
        <f t="shared" si="493"/>
        <v>171.88</v>
      </c>
      <c r="Q212" s="34">
        <f t="shared" si="494"/>
        <v>257.82</v>
      </c>
      <c r="R212" s="23"/>
    </row>
    <row r="213" spans="1:18" ht="18.75" customHeight="1" thickBot="1" x14ac:dyDescent="0.4">
      <c r="A213" s="175" t="s">
        <v>22</v>
      </c>
      <c r="B213" s="152" t="s">
        <v>10</v>
      </c>
      <c r="C213" s="94">
        <f>SUMIF($B$181:$B$209,"ปริญญาเอก",C181:C209)</f>
        <v>0</v>
      </c>
      <c r="D213" s="35">
        <f t="shared" si="495"/>
        <v>0</v>
      </c>
      <c r="E213" s="35">
        <f t="shared" si="490"/>
        <v>0</v>
      </c>
      <c r="F213" s="36"/>
      <c r="G213" s="94">
        <f>SUMIF($B$181:$B$209,"ปริญญาเอก",G181:G209)</f>
        <v>6</v>
      </c>
      <c r="H213" s="35">
        <f t="shared" si="496"/>
        <v>0.5</v>
      </c>
      <c r="I213" s="35">
        <f t="shared" si="491"/>
        <v>0.75</v>
      </c>
      <c r="J213" s="36"/>
      <c r="K213" s="94">
        <f>SUMIF($B$181:$B$209,"ปริญญาเอก",K181:K209)</f>
        <v>0</v>
      </c>
      <c r="L213" s="35">
        <f t="shared" si="497"/>
        <v>0</v>
      </c>
      <c r="M213" s="35">
        <f t="shared" si="492"/>
        <v>0</v>
      </c>
      <c r="N213" s="36"/>
      <c r="O213" s="92">
        <f t="shared" si="436"/>
        <v>6</v>
      </c>
      <c r="P213" s="37">
        <f t="shared" si="493"/>
        <v>0.25</v>
      </c>
      <c r="Q213" s="37">
        <f t="shared" si="494"/>
        <v>0.375</v>
      </c>
      <c r="R213" s="27"/>
    </row>
    <row r="214" spans="1:18" ht="18.75" customHeight="1" x14ac:dyDescent="0.35">
      <c r="A214" s="148" t="s">
        <v>71</v>
      </c>
      <c r="B214" s="149"/>
      <c r="C214" s="80"/>
      <c r="D214" s="28"/>
      <c r="E214" s="28"/>
      <c r="F214" s="29"/>
      <c r="G214" s="79"/>
      <c r="H214" s="28"/>
      <c r="I214" s="28"/>
      <c r="J214" s="29"/>
      <c r="K214" s="80"/>
      <c r="L214" s="28"/>
      <c r="M214" s="28"/>
      <c r="N214" s="29"/>
      <c r="O214" s="66"/>
      <c r="P214" s="30"/>
      <c r="Q214" s="30"/>
      <c r="R214" s="31"/>
    </row>
    <row r="215" spans="1:18" ht="18.75" customHeight="1" x14ac:dyDescent="0.35">
      <c r="A215" s="145" t="s">
        <v>7</v>
      </c>
      <c r="B215" s="145" t="s">
        <v>8</v>
      </c>
      <c r="C215" s="140">
        <v>278.38800000000003</v>
      </c>
      <c r="D215" s="20">
        <f>ROUND(C215/18,2)</f>
        <v>15.47</v>
      </c>
      <c r="E215" s="20"/>
      <c r="F215" s="21">
        <f>SUM(D215,E216:E217)</f>
        <v>15.47</v>
      </c>
      <c r="G215" s="81">
        <v>24</v>
      </c>
      <c r="H215" s="20">
        <f>ROUND(G215/18,2)</f>
        <v>1.33</v>
      </c>
      <c r="I215" s="20"/>
      <c r="J215" s="21">
        <f>SUM(H215,I216:I217)</f>
        <v>1.33</v>
      </c>
      <c r="K215" s="140"/>
      <c r="L215" s="20">
        <f>ROUND(K215/18,2)</f>
        <v>0</v>
      </c>
      <c r="M215" s="20"/>
      <c r="N215" s="21">
        <f>SUM(L215,M216:M217)</f>
        <v>0</v>
      </c>
      <c r="O215" s="22">
        <f>SUMIF($C$3:$N$3,"SCH",C215:N215)</f>
        <v>302.38800000000003</v>
      </c>
      <c r="P215" s="22">
        <f>ROUND(O215/36,2)</f>
        <v>8.4</v>
      </c>
      <c r="Q215" s="22"/>
      <c r="R215" s="23">
        <f>SUM(P215,Q216:Q217)</f>
        <v>8.4</v>
      </c>
    </row>
    <row r="216" spans="1:18" ht="18.75" customHeight="1" x14ac:dyDescent="0.35">
      <c r="A216" s="163"/>
      <c r="B216" s="145" t="s">
        <v>9</v>
      </c>
      <c r="C216" s="140"/>
      <c r="D216" s="20">
        <f t="shared" ref="D216:D217" si="498">ROUND(C216/12,2)</f>
        <v>0</v>
      </c>
      <c r="E216" s="20">
        <f t="shared" ref="E216:E217" si="499">D216*1</f>
        <v>0</v>
      </c>
      <c r="F216" s="21"/>
      <c r="G216" s="81"/>
      <c r="H216" s="20">
        <f t="shared" ref="H216:H217" si="500">ROUND(G216/12,2)</f>
        <v>0</v>
      </c>
      <c r="I216" s="20">
        <f t="shared" ref="I216:I217" si="501">H216*1</f>
        <v>0</v>
      </c>
      <c r="J216" s="21"/>
      <c r="K216" s="82"/>
      <c r="L216" s="20">
        <f t="shared" ref="L216:L217" si="502">ROUND(K216/12,2)</f>
        <v>0</v>
      </c>
      <c r="M216" s="20">
        <f t="shared" ref="M216:M217" si="503">L216*1</f>
        <v>0</v>
      </c>
      <c r="N216" s="21"/>
      <c r="O216" s="22">
        <f>SUMIF($C$3:$N$3,"SCH",C216:N216)</f>
        <v>0</v>
      </c>
      <c r="P216" s="22">
        <f t="shared" ref="P216:P217" si="504">ROUND(O216/24,2)</f>
        <v>0</v>
      </c>
      <c r="Q216" s="22">
        <f t="shared" ref="Q216:Q217" si="505">P216*1</f>
        <v>0</v>
      </c>
      <c r="R216" s="23"/>
    </row>
    <row r="217" spans="1:18" ht="18.75" customHeight="1" thickBot="1" x14ac:dyDescent="0.4">
      <c r="A217" s="164"/>
      <c r="B217" s="146" t="s">
        <v>10</v>
      </c>
      <c r="C217" s="298"/>
      <c r="D217" s="24">
        <f t="shared" si="498"/>
        <v>0</v>
      </c>
      <c r="E217" s="24">
        <f t="shared" si="499"/>
        <v>0</v>
      </c>
      <c r="F217" s="25"/>
      <c r="G217" s="83"/>
      <c r="H217" s="24">
        <f t="shared" si="500"/>
        <v>0</v>
      </c>
      <c r="I217" s="24">
        <f t="shared" si="501"/>
        <v>0</v>
      </c>
      <c r="J217" s="25"/>
      <c r="K217" s="84"/>
      <c r="L217" s="24">
        <f t="shared" si="502"/>
        <v>0</v>
      </c>
      <c r="M217" s="24">
        <f t="shared" si="503"/>
        <v>0</v>
      </c>
      <c r="N217" s="25"/>
      <c r="O217" s="92">
        <f>SUMIF($C$3:$N$3,"SCH",C217:N217)</f>
        <v>0</v>
      </c>
      <c r="P217" s="26">
        <f t="shared" si="504"/>
        <v>0</v>
      </c>
      <c r="Q217" s="26">
        <f t="shared" si="505"/>
        <v>0</v>
      </c>
      <c r="R217" s="27"/>
    </row>
    <row r="218" spans="1:18" ht="18.75" customHeight="1" x14ac:dyDescent="0.35">
      <c r="A218" s="148" t="s">
        <v>72</v>
      </c>
      <c r="B218" s="149"/>
      <c r="C218" s="300"/>
      <c r="D218" s="28"/>
      <c r="E218" s="28"/>
      <c r="F218" s="29"/>
      <c r="G218" s="79"/>
      <c r="H218" s="28"/>
      <c r="I218" s="28"/>
      <c r="J218" s="29"/>
      <c r="K218" s="80"/>
      <c r="L218" s="28"/>
      <c r="M218" s="28"/>
      <c r="N218" s="29"/>
      <c r="O218" s="30"/>
      <c r="P218" s="30"/>
      <c r="Q218" s="30"/>
      <c r="R218" s="31"/>
    </row>
    <row r="219" spans="1:18" ht="18.75" customHeight="1" x14ac:dyDescent="0.35">
      <c r="A219" s="145" t="s">
        <v>73</v>
      </c>
      <c r="B219" s="145" t="s">
        <v>8</v>
      </c>
      <c r="C219" s="140"/>
      <c r="D219" s="20">
        <f>ROUND(C219/18,2)</f>
        <v>0</v>
      </c>
      <c r="E219" s="20"/>
      <c r="F219" s="21">
        <f>SUM(D219,E220:E221)</f>
        <v>0</v>
      </c>
      <c r="G219" s="81"/>
      <c r="H219" s="20">
        <f>ROUND(G219/18,2)</f>
        <v>0</v>
      </c>
      <c r="I219" s="20"/>
      <c r="J219" s="21">
        <f>SUM(H219,I220:I221)</f>
        <v>0</v>
      </c>
      <c r="K219" s="82"/>
      <c r="L219" s="20">
        <f>ROUND(K219/18,2)</f>
        <v>0</v>
      </c>
      <c r="M219" s="20"/>
      <c r="N219" s="21">
        <f>SUM(L219,M220:M221)</f>
        <v>0</v>
      </c>
      <c r="O219" s="22">
        <f t="shared" ref="O219:O239" si="506">SUMIF($C$3:$N$3,"SCH",C219:N219)</f>
        <v>0</v>
      </c>
      <c r="P219" s="22">
        <f>ROUND(O219/36,2)</f>
        <v>0</v>
      </c>
      <c r="Q219" s="22"/>
      <c r="R219" s="23">
        <f>SUM(P219,Q220:Q221)</f>
        <v>0</v>
      </c>
    </row>
    <row r="220" spans="1:18" ht="18.75" customHeight="1" x14ac:dyDescent="0.35">
      <c r="A220" s="145"/>
      <c r="B220" s="145" t="s">
        <v>9</v>
      </c>
      <c r="C220" s="140"/>
      <c r="D220" s="20">
        <f t="shared" ref="D220:D221" si="507">ROUND(C220/12,2)</f>
        <v>0</v>
      </c>
      <c r="E220" s="20">
        <f t="shared" ref="E220:E221" si="508">D220*1</f>
        <v>0</v>
      </c>
      <c r="F220" s="21"/>
      <c r="G220" s="81"/>
      <c r="H220" s="20">
        <f t="shared" ref="H220:H221" si="509">ROUND(G220/12,2)</f>
        <v>0</v>
      </c>
      <c r="I220" s="20">
        <f t="shared" ref="I220:I221" si="510">H220*1</f>
        <v>0</v>
      </c>
      <c r="J220" s="21"/>
      <c r="K220" s="82"/>
      <c r="L220" s="20">
        <f t="shared" ref="L220:L221" si="511">ROUND(K220/12,2)</f>
        <v>0</v>
      </c>
      <c r="M220" s="20">
        <f t="shared" ref="M220:M221" si="512">L220*1</f>
        <v>0</v>
      </c>
      <c r="N220" s="21"/>
      <c r="O220" s="22">
        <f t="shared" si="506"/>
        <v>0</v>
      </c>
      <c r="P220" s="22">
        <f t="shared" ref="P220:P221" si="513">ROUND(O220/24,2)</f>
        <v>0</v>
      </c>
      <c r="Q220" s="22">
        <f t="shared" ref="Q220:Q221" si="514">P220*1</f>
        <v>0</v>
      </c>
      <c r="R220" s="23"/>
    </row>
    <row r="221" spans="1:18" ht="18.75" customHeight="1" x14ac:dyDescent="0.35">
      <c r="A221" s="145"/>
      <c r="B221" s="145" t="s">
        <v>10</v>
      </c>
      <c r="C221" s="140"/>
      <c r="D221" s="20">
        <f t="shared" si="507"/>
        <v>0</v>
      </c>
      <c r="E221" s="20">
        <f t="shared" si="508"/>
        <v>0</v>
      </c>
      <c r="F221" s="21"/>
      <c r="G221" s="81"/>
      <c r="H221" s="20">
        <f t="shared" si="509"/>
        <v>0</v>
      </c>
      <c r="I221" s="20">
        <f t="shared" si="510"/>
        <v>0</v>
      </c>
      <c r="J221" s="21"/>
      <c r="K221" s="82"/>
      <c r="L221" s="20">
        <f t="shared" si="511"/>
        <v>0</v>
      </c>
      <c r="M221" s="20">
        <f t="shared" si="512"/>
        <v>0</v>
      </c>
      <c r="N221" s="21"/>
      <c r="O221" s="22">
        <f t="shared" si="506"/>
        <v>0</v>
      </c>
      <c r="P221" s="22">
        <f t="shared" si="513"/>
        <v>0</v>
      </c>
      <c r="Q221" s="22">
        <f t="shared" si="514"/>
        <v>0</v>
      </c>
      <c r="R221" s="23"/>
    </row>
    <row r="222" spans="1:18" ht="18.75" customHeight="1" x14ac:dyDescent="0.35">
      <c r="A222" s="145" t="s">
        <v>74</v>
      </c>
      <c r="B222" s="145" t="s">
        <v>8</v>
      </c>
      <c r="C222" s="20">
        <v>1162.8</v>
      </c>
      <c r="D222" s="20">
        <f>ROUND(C222/18,2)</f>
        <v>64.599999999999994</v>
      </c>
      <c r="E222" s="20"/>
      <c r="F222" s="21">
        <f>SUM(D222,E223:E224)</f>
        <v>93.1</v>
      </c>
      <c r="G222" s="81">
        <v>72</v>
      </c>
      <c r="H222" s="20">
        <f>ROUND(G222/18,2)</f>
        <v>4</v>
      </c>
      <c r="I222" s="20"/>
      <c r="J222" s="21">
        <f>SUM(H222,I223:I224)</f>
        <v>19.5</v>
      </c>
      <c r="K222" s="82"/>
      <c r="L222" s="20">
        <f>ROUND(K222/18,2)</f>
        <v>0</v>
      </c>
      <c r="M222" s="20"/>
      <c r="N222" s="21">
        <f>SUM(L222,M223:M224)</f>
        <v>13.25</v>
      </c>
      <c r="O222" s="22">
        <f t="shared" si="506"/>
        <v>1234.8</v>
      </c>
      <c r="P222" s="22">
        <f>ROUND(O222/36,2)</f>
        <v>34.299999999999997</v>
      </c>
      <c r="Q222" s="22"/>
      <c r="R222" s="23">
        <f>SUM(P222,Q223:Q224)</f>
        <v>62.929999999999993</v>
      </c>
    </row>
    <row r="223" spans="1:18" ht="18.75" customHeight="1" x14ac:dyDescent="0.35">
      <c r="A223" s="145"/>
      <c r="B223" s="145" t="s">
        <v>9</v>
      </c>
      <c r="C223" s="140">
        <v>342</v>
      </c>
      <c r="D223" s="20">
        <f t="shared" ref="D223:D224" si="515">ROUND(C223/12,2)</f>
        <v>28.5</v>
      </c>
      <c r="E223" s="20">
        <f>D223*1</f>
        <v>28.5</v>
      </c>
      <c r="F223" s="21"/>
      <c r="G223" s="81">
        <v>186</v>
      </c>
      <c r="H223" s="20">
        <f t="shared" ref="H223:H224" si="516">ROUND(G223/12,2)</f>
        <v>15.5</v>
      </c>
      <c r="I223" s="20">
        <f t="shared" ref="I223:I224" si="517">H223*1</f>
        <v>15.5</v>
      </c>
      <c r="J223" s="21"/>
      <c r="K223" s="82">
        <v>159</v>
      </c>
      <c r="L223" s="20">
        <f t="shared" ref="L223:L224" si="518">ROUND(K223/12,2)</f>
        <v>13.25</v>
      </c>
      <c r="M223" s="20">
        <f>L223*1</f>
        <v>13.25</v>
      </c>
      <c r="N223" s="21"/>
      <c r="O223" s="22">
        <f t="shared" si="506"/>
        <v>687</v>
      </c>
      <c r="P223" s="22">
        <f t="shared" ref="P223:P224" si="519">ROUND(O223/24,2)</f>
        <v>28.63</v>
      </c>
      <c r="Q223" s="22">
        <f t="shared" ref="Q223:Q224" si="520">P223*1</f>
        <v>28.63</v>
      </c>
      <c r="R223" s="23"/>
    </row>
    <row r="224" spans="1:18" ht="18.75" customHeight="1" x14ac:dyDescent="0.35">
      <c r="A224" s="145"/>
      <c r="B224" s="145" t="s">
        <v>10</v>
      </c>
      <c r="C224" s="140"/>
      <c r="D224" s="20">
        <f t="shared" si="515"/>
        <v>0</v>
      </c>
      <c r="E224" s="20">
        <f t="shared" ref="E224" si="521">D224*1</f>
        <v>0</v>
      </c>
      <c r="F224" s="21"/>
      <c r="G224" s="81"/>
      <c r="H224" s="20">
        <f t="shared" si="516"/>
        <v>0</v>
      </c>
      <c r="I224" s="20">
        <f t="shared" si="517"/>
        <v>0</v>
      </c>
      <c r="J224" s="21"/>
      <c r="K224" s="82"/>
      <c r="L224" s="20">
        <f t="shared" si="518"/>
        <v>0</v>
      </c>
      <c r="M224" s="20">
        <f t="shared" ref="M224" si="522">L224*1</f>
        <v>0</v>
      </c>
      <c r="N224" s="21"/>
      <c r="O224" s="22">
        <f t="shared" si="506"/>
        <v>0</v>
      </c>
      <c r="P224" s="22">
        <f t="shared" si="519"/>
        <v>0</v>
      </c>
      <c r="Q224" s="22">
        <f t="shared" si="520"/>
        <v>0</v>
      </c>
      <c r="R224" s="23"/>
    </row>
    <row r="225" spans="1:18" ht="18.75" customHeight="1" x14ac:dyDescent="0.35">
      <c r="A225" s="145" t="s">
        <v>75</v>
      </c>
      <c r="B225" s="145" t="s">
        <v>8</v>
      </c>
      <c r="C225" s="140"/>
      <c r="D225" s="20">
        <f>ROUND(C225/18,2)</f>
        <v>0</v>
      </c>
      <c r="E225" s="20"/>
      <c r="F225" s="21">
        <f>SUM(D225,E226:E227)</f>
        <v>34.17</v>
      </c>
      <c r="G225" s="81"/>
      <c r="H225" s="20">
        <f>ROUND(G225/18,2)</f>
        <v>0</v>
      </c>
      <c r="I225" s="20"/>
      <c r="J225" s="21">
        <f>SUM(H225,I226:I227)</f>
        <v>22.58</v>
      </c>
      <c r="K225" s="82"/>
      <c r="L225" s="20">
        <f>ROUND(K225/18,2)</f>
        <v>0</v>
      </c>
      <c r="M225" s="20"/>
      <c r="N225" s="21">
        <f>SUM(L225,M226:M227)</f>
        <v>3.75</v>
      </c>
      <c r="O225" s="22">
        <f t="shared" si="506"/>
        <v>0</v>
      </c>
      <c r="P225" s="22">
        <f>ROUND(O225/36,2)</f>
        <v>0</v>
      </c>
      <c r="Q225" s="22"/>
      <c r="R225" s="23">
        <f>SUM(P225,Q226:Q227)</f>
        <v>30.25</v>
      </c>
    </row>
    <row r="226" spans="1:18" ht="18.75" customHeight="1" x14ac:dyDescent="0.35">
      <c r="A226" s="145"/>
      <c r="B226" s="145" t="s">
        <v>9</v>
      </c>
      <c r="C226" s="140">
        <f>320+90</f>
        <v>410</v>
      </c>
      <c r="D226" s="20">
        <f t="shared" ref="D226:D227" si="523">ROUND(C226/12,2)</f>
        <v>34.17</v>
      </c>
      <c r="E226" s="20">
        <f t="shared" ref="E226:E227" si="524">D226*1</f>
        <v>34.17</v>
      </c>
      <c r="F226" s="21"/>
      <c r="G226" s="81">
        <v>271</v>
      </c>
      <c r="H226" s="20">
        <f t="shared" ref="H226:H227" si="525">ROUND(G226/12,2)</f>
        <v>22.58</v>
      </c>
      <c r="I226" s="20">
        <f t="shared" ref="I226:I227" si="526">H226*1</f>
        <v>22.58</v>
      </c>
      <c r="J226" s="21"/>
      <c r="K226" s="82">
        <v>45</v>
      </c>
      <c r="L226" s="20">
        <f t="shared" ref="L226:L227" si="527">ROUND(K226/12,2)</f>
        <v>3.75</v>
      </c>
      <c r="M226" s="20">
        <f t="shared" ref="M226:M227" si="528">L226*1</f>
        <v>3.75</v>
      </c>
      <c r="N226" s="21"/>
      <c r="O226" s="22">
        <f t="shared" si="506"/>
        <v>726</v>
      </c>
      <c r="P226" s="22">
        <f t="shared" ref="P226:P227" si="529">ROUND(O226/24,2)</f>
        <v>30.25</v>
      </c>
      <c r="Q226" s="22">
        <f t="shared" ref="Q226:Q227" si="530">P226*1</f>
        <v>30.25</v>
      </c>
      <c r="R226" s="23"/>
    </row>
    <row r="227" spans="1:18" ht="18.75" customHeight="1" x14ac:dyDescent="0.35">
      <c r="A227" s="145"/>
      <c r="B227" s="145" t="s">
        <v>10</v>
      </c>
      <c r="C227" s="140"/>
      <c r="D227" s="20">
        <f t="shared" si="523"/>
        <v>0</v>
      </c>
      <c r="E227" s="20">
        <f t="shared" si="524"/>
        <v>0</v>
      </c>
      <c r="F227" s="21"/>
      <c r="G227" s="81"/>
      <c r="H227" s="20">
        <f t="shared" si="525"/>
        <v>0</v>
      </c>
      <c r="I227" s="20">
        <f t="shared" si="526"/>
        <v>0</v>
      </c>
      <c r="J227" s="21"/>
      <c r="K227" s="82"/>
      <c r="L227" s="20">
        <f t="shared" si="527"/>
        <v>0</v>
      </c>
      <c r="M227" s="20">
        <f t="shared" si="528"/>
        <v>0</v>
      </c>
      <c r="N227" s="21"/>
      <c r="O227" s="22">
        <f t="shared" si="506"/>
        <v>0</v>
      </c>
      <c r="P227" s="22">
        <f t="shared" si="529"/>
        <v>0</v>
      </c>
      <c r="Q227" s="22">
        <f t="shared" si="530"/>
        <v>0</v>
      </c>
      <c r="R227" s="23"/>
    </row>
    <row r="228" spans="1:18" ht="18.75" customHeight="1" x14ac:dyDescent="0.35">
      <c r="A228" s="145" t="s">
        <v>76</v>
      </c>
      <c r="B228" s="145" t="s">
        <v>8</v>
      </c>
      <c r="C228" s="140"/>
      <c r="D228" s="20">
        <f>ROUND(C228/18,2)</f>
        <v>0</v>
      </c>
      <c r="E228" s="20"/>
      <c r="F228" s="21">
        <f>SUM(D228,E229:E230)</f>
        <v>0</v>
      </c>
      <c r="G228" s="81"/>
      <c r="H228" s="20">
        <f>ROUND(G228/18,2)</f>
        <v>0</v>
      </c>
      <c r="I228" s="20"/>
      <c r="J228" s="21">
        <f>SUM(H228,I229:I230)</f>
        <v>0</v>
      </c>
      <c r="K228" s="82"/>
      <c r="L228" s="20">
        <f>ROUND(K228/18,2)</f>
        <v>0</v>
      </c>
      <c r="M228" s="20"/>
      <c r="N228" s="21">
        <f>SUM(L228,M229:M230)</f>
        <v>0</v>
      </c>
      <c r="O228" s="22">
        <f t="shared" si="506"/>
        <v>0</v>
      </c>
      <c r="P228" s="22">
        <f>ROUND(O228/36,2)</f>
        <v>0</v>
      </c>
      <c r="Q228" s="22"/>
      <c r="R228" s="23">
        <f>SUM(P228,Q229:Q230)</f>
        <v>0</v>
      </c>
    </row>
    <row r="229" spans="1:18" ht="18.75" customHeight="1" x14ac:dyDescent="0.35">
      <c r="A229" s="145"/>
      <c r="B229" s="145" t="s">
        <v>9</v>
      </c>
      <c r="C229" s="140"/>
      <c r="D229" s="20">
        <f t="shared" ref="D229:D230" si="531">ROUND(C229/12,2)</f>
        <v>0</v>
      </c>
      <c r="E229" s="20">
        <f t="shared" ref="E229:E230" si="532">D229*1</f>
        <v>0</v>
      </c>
      <c r="F229" s="21"/>
      <c r="G229" s="81"/>
      <c r="H229" s="20">
        <f t="shared" ref="H229:H230" si="533">ROUND(G229/12,2)</f>
        <v>0</v>
      </c>
      <c r="I229" s="20">
        <f t="shared" ref="I229:I230" si="534">H229*1</f>
        <v>0</v>
      </c>
      <c r="J229" s="21"/>
      <c r="K229" s="82"/>
      <c r="L229" s="20">
        <f t="shared" ref="L229:L230" si="535">ROUND(K229/12,2)</f>
        <v>0</v>
      </c>
      <c r="M229" s="20">
        <f t="shared" ref="M229:M230" si="536">L229*1</f>
        <v>0</v>
      </c>
      <c r="N229" s="21"/>
      <c r="O229" s="22">
        <f t="shared" si="506"/>
        <v>0</v>
      </c>
      <c r="P229" s="22">
        <f t="shared" ref="P229:P230" si="537">ROUND(O229/24,2)</f>
        <v>0</v>
      </c>
      <c r="Q229" s="22">
        <f t="shared" ref="Q229:Q230" si="538">P229*1</f>
        <v>0</v>
      </c>
      <c r="R229" s="23"/>
    </row>
    <row r="230" spans="1:18" ht="18.75" customHeight="1" x14ac:dyDescent="0.35">
      <c r="A230" s="145"/>
      <c r="B230" s="145" t="s">
        <v>10</v>
      </c>
      <c r="C230" s="140"/>
      <c r="D230" s="20">
        <f t="shared" si="531"/>
        <v>0</v>
      </c>
      <c r="E230" s="20">
        <f t="shared" si="532"/>
        <v>0</v>
      </c>
      <c r="F230" s="21"/>
      <c r="G230" s="81"/>
      <c r="H230" s="20">
        <f t="shared" si="533"/>
        <v>0</v>
      </c>
      <c r="I230" s="20">
        <f t="shared" si="534"/>
        <v>0</v>
      </c>
      <c r="J230" s="21"/>
      <c r="K230" s="82"/>
      <c r="L230" s="20">
        <f t="shared" si="535"/>
        <v>0</v>
      </c>
      <c r="M230" s="20">
        <f t="shared" si="536"/>
        <v>0</v>
      </c>
      <c r="N230" s="21"/>
      <c r="O230" s="22">
        <f t="shared" si="506"/>
        <v>0</v>
      </c>
      <c r="P230" s="22">
        <f t="shared" si="537"/>
        <v>0</v>
      </c>
      <c r="Q230" s="22">
        <f t="shared" si="538"/>
        <v>0</v>
      </c>
      <c r="R230" s="23"/>
    </row>
    <row r="231" spans="1:18" ht="18.75" customHeight="1" x14ac:dyDescent="0.35">
      <c r="A231" s="145" t="s">
        <v>77</v>
      </c>
      <c r="B231" s="145" t="s">
        <v>8</v>
      </c>
      <c r="C231" s="140"/>
      <c r="D231" s="20">
        <f>ROUND(C231/18,2)</f>
        <v>0</v>
      </c>
      <c r="E231" s="20"/>
      <c r="F231" s="21">
        <f>SUM(D231,E232:E233)</f>
        <v>0</v>
      </c>
      <c r="G231" s="81"/>
      <c r="H231" s="20">
        <f>ROUND(G231/18,2)</f>
        <v>0</v>
      </c>
      <c r="I231" s="20"/>
      <c r="J231" s="21">
        <f>SUM(H231,I232:I233)</f>
        <v>0</v>
      </c>
      <c r="K231" s="82"/>
      <c r="L231" s="20">
        <f>ROUND(K231/18,2)</f>
        <v>0</v>
      </c>
      <c r="M231" s="20"/>
      <c r="N231" s="21">
        <f>SUM(L231,M232:M233)</f>
        <v>0</v>
      </c>
      <c r="O231" s="22">
        <f t="shared" si="506"/>
        <v>0</v>
      </c>
      <c r="P231" s="22">
        <f>ROUND(O231/36,2)</f>
        <v>0</v>
      </c>
      <c r="Q231" s="22"/>
      <c r="R231" s="23">
        <f>SUM(P231,Q232:Q233)</f>
        <v>0</v>
      </c>
    </row>
    <row r="232" spans="1:18" ht="18.75" customHeight="1" x14ac:dyDescent="0.35">
      <c r="A232" s="145"/>
      <c r="B232" s="145" t="s">
        <v>9</v>
      </c>
      <c r="C232" s="140"/>
      <c r="D232" s="20">
        <f t="shared" ref="D232:D233" si="539">ROUND(C232/12,2)</f>
        <v>0</v>
      </c>
      <c r="E232" s="20">
        <f t="shared" ref="E232:E233" si="540">D232*1</f>
        <v>0</v>
      </c>
      <c r="F232" s="21"/>
      <c r="G232" s="81"/>
      <c r="H232" s="20">
        <f t="shared" ref="H232:H233" si="541">ROUND(G232/12,2)</f>
        <v>0</v>
      </c>
      <c r="I232" s="20">
        <f t="shared" ref="I232:I233" si="542">H232*1</f>
        <v>0</v>
      </c>
      <c r="J232" s="21"/>
      <c r="K232" s="82"/>
      <c r="L232" s="20">
        <f t="shared" ref="L232:L233" si="543">ROUND(K232/12,2)</f>
        <v>0</v>
      </c>
      <c r="M232" s="20">
        <f t="shared" ref="M232:M233" si="544">L232*1</f>
        <v>0</v>
      </c>
      <c r="N232" s="21"/>
      <c r="O232" s="22">
        <f t="shared" si="506"/>
        <v>0</v>
      </c>
      <c r="P232" s="22">
        <f t="shared" ref="P232:P233" si="545">ROUND(O232/24,2)</f>
        <v>0</v>
      </c>
      <c r="Q232" s="22">
        <f t="shared" ref="Q232:Q233" si="546">P232*1</f>
        <v>0</v>
      </c>
      <c r="R232" s="23"/>
    </row>
    <row r="233" spans="1:18" ht="18.75" customHeight="1" x14ac:dyDescent="0.35">
      <c r="A233" s="145"/>
      <c r="B233" s="145" t="s">
        <v>10</v>
      </c>
      <c r="C233" s="140"/>
      <c r="D233" s="20">
        <f t="shared" si="539"/>
        <v>0</v>
      </c>
      <c r="E233" s="20">
        <f t="shared" si="540"/>
        <v>0</v>
      </c>
      <c r="F233" s="21"/>
      <c r="G233" s="81"/>
      <c r="H233" s="20">
        <f t="shared" si="541"/>
        <v>0</v>
      </c>
      <c r="I233" s="20">
        <f t="shared" si="542"/>
        <v>0</v>
      </c>
      <c r="J233" s="21"/>
      <c r="K233" s="82"/>
      <c r="L233" s="20">
        <f t="shared" si="543"/>
        <v>0</v>
      </c>
      <c r="M233" s="20">
        <f t="shared" si="544"/>
        <v>0</v>
      </c>
      <c r="N233" s="21"/>
      <c r="O233" s="22">
        <f t="shared" si="506"/>
        <v>0</v>
      </c>
      <c r="P233" s="22">
        <f t="shared" si="545"/>
        <v>0</v>
      </c>
      <c r="Q233" s="22">
        <f t="shared" si="546"/>
        <v>0</v>
      </c>
      <c r="R233" s="23"/>
    </row>
    <row r="234" spans="1:18" ht="18.75" customHeight="1" x14ac:dyDescent="0.35">
      <c r="A234" s="145" t="s">
        <v>78</v>
      </c>
      <c r="B234" s="145" t="s">
        <v>8</v>
      </c>
      <c r="C234" s="82"/>
      <c r="D234" s="20">
        <f>ROUND(C234/18,2)</f>
        <v>0</v>
      </c>
      <c r="E234" s="20"/>
      <c r="F234" s="21">
        <f>SUM(D234,E235:E236)</f>
        <v>0</v>
      </c>
      <c r="G234" s="81"/>
      <c r="H234" s="20">
        <f>ROUND(G234/18,2)</f>
        <v>0</v>
      </c>
      <c r="I234" s="20"/>
      <c r="J234" s="21">
        <f>SUM(H234,I235:I236)</f>
        <v>0</v>
      </c>
      <c r="K234" s="82"/>
      <c r="L234" s="20">
        <f>ROUND(K234/18,2)</f>
        <v>0</v>
      </c>
      <c r="M234" s="20"/>
      <c r="N234" s="21">
        <f>SUM(L234,M235:M236)</f>
        <v>0</v>
      </c>
      <c r="O234" s="22">
        <f t="shared" si="506"/>
        <v>0</v>
      </c>
      <c r="P234" s="22">
        <f>ROUND(O234/36,2)</f>
        <v>0</v>
      </c>
      <c r="Q234" s="22"/>
      <c r="R234" s="23">
        <f>SUM(P234,Q235:Q236)</f>
        <v>0</v>
      </c>
    </row>
    <row r="235" spans="1:18" ht="18.75" customHeight="1" x14ac:dyDescent="0.35">
      <c r="A235" s="145"/>
      <c r="B235" s="145" t="s">
        <v>9</v>
      </c>
      <c r="C235" s="82"/>
      <c r="D235" s="20">
        <f t="shared" ref="D235:D236" si="547">ROUND(C235/12,2)</f>
        <v>0</v>
      </c>
      <c r="E235" s="20">
        <f t="shared" ref="E235:E236" si="548">D235*1</f>
        <v>0</v>
      </c>
      <c r="F235" s="21"/>
      <c r="G235" s="81"/>
      <c r="H235" s="20">
        <f t="shared" ref="H235:H236" si="549">ROUND(G235/12,2)</f>
        <v>0</v>
      </c>
      <c r="I235" s="20">
        <f t="shared" ref="I235:I236" si="550">H235*1</f>
        <v>0</v>
      </c>
      <c r="J235" s="21"/>
      <c r="K235" s="82"/>
      <c r="L235" s="20">
        <f t="shared" ref="L235:L236" si="551">ROUND(K235/12,2)</f>
        <v>0</v>
      </c>
      <c r="M235" s="20">
        <f t="shared" ref="M235:M236" si="552">L235*1</f>
        <v>0</v>
      </c>
      <c r="N235" s="21"/>
      <c r="O235" s="22">
        <f t="shared" si="506"/>
        <v>0</v>
      </c>
      <c r="P235" s="22">
        <f t="shared" ref="P235:P236" si="553">ROUND(O235/24,2)</f>
        <v>0</v>
      </c>
      <c r="Q235" s="22">
        <f t="shared" ref="Q235:Q236" si="554">P235*1</f>
        <v>0</v>
      </c>
      <c r="R235" s="23"/>
    </row>
    <row r="236" spans="1:18" ht="18.75" customHeight="1" x14ac:dyDescent="0.35">
      <c r="A236" s="145"/>
      <c r="B236" s="145" t="s">
        <v>10</v>
      </c>
      <c r="C236" s="82"/>
      <c r="D236" s="20">
        <f t="shared" si="547"/>
        <v>0</v>
      </c>
      <c r="E236" s="20">
        <f t="shared" si="548"/>
        <v>0</v>
      </c>
      <c r="F236" s="21"/>
      <c r="G236" s="81"/>
      <c r="H236" s="20">
        <f t="shared" si="549"/>
        <v>0</v>
      </c>
      <c r="I236" s="20">
        <f t="shared" si="550"/>
        <v>0</v>
      </c>
      <c r="J236" s="21"/>
      <c r="K236" s="97"/>
      <c r="L236" s="38">
        <f t="shared" si="551"/>
        <v>0</v>
      </c>
      <c r="M236" s="38">
        <f t="shared" si="552"/>
        <v>0</v>
      </c>
      <c r="N236" s="39"/>
      <c r="O236" s="22">
        <f t="shared" si="506"/>
        <v>0</v>
      </c>
      <c r="P236" s="22">
        <f t="shared" si="553"/>
        <v>0</v>
      </c>
      <c r="Q236" s="22">
        <f t="shared" si="554"/>
        <v>0</v>
      </c>
      <c r="R236" s="23"/>
    </row>
    <row r="237" spans="1:18" ht="18.75" customHeight="1" x14ac:dyDescent="0.35">
      <c r="A237" s="177" t="s">
        <v>22</v>
      </c>
      <c r="B237" s="151" t="s">
        <v>8</v>
      </c>
      <c r="C237" s="93">
        <f>SUMIF($B$218:$B$236,"ปริญญาตรี",C218:C236)</f>
        <v>1162.8</v>
      </c>
      <c r="D237" s="32">
        <f>ROUND(C237/18,2)</f>
        <v>64.599999999999994</v>
      </c>
      <c r="E237" s="32"/>
      <c r="F237" s="33">
        <f>SUM(D237,E238:E239)</f>
        <v>127.27</v>
      </c>
      <c r="G237" s="93">
        <f>SUMIF($B$218:$B$236,"ปริญญาตรี",G218:G236)</f>
        <v>72</v>
      </c>
      <c r="H237" s="32">
        <f>ROUND(G237/18,2)</f>
        <v>4</v>
      </c>
      <c r="I237" s="32"/>
      <c r="J237" s="33">
        <f>SUM(H237,I238:I239)</f>
        <v>42.08</v>
      </c>
      <c r="K237" s="93">
        <f>SUMIF($B$218:$B$236,"ปริญญาตรี",K218:K236)</f>
        <v>0</v>
      </c>
      <c r="L237" s="98">
        <f>ROUND(K237/18,2)</f>
        <v>0</v>
      </c>
      <c r="M237" s="98"/>
      <c r="N237" s="99">
        <f>SUM(L237,M238:M239)</f>
        <v>17</v>
      </c>
      <c r="O237" s="136">
        <f t="shared" si="506"/>
        <v>1234.8</v>
      </c>
      <c r="P237" s="34">
        <f>ROUND(O237/36,2)</f>
        <v>34.299999999999997</v>
      </c>
      <c r="Q237" s="34"/>
      <c r="R237" s="23">
        <f>SUM(P237,Q238:Q239)</f>
        <v>93.18</v>
      </c>
    </row>
    <row r="238" spans="1:18" ht="18.75" customHeight="1" x14ac:dyDescent="0.35">
      <c r="A238" s="174" t="s">
        <v>22</v>
      </c>
      <c r="B238" s="151" t="s">
        <v>9</v>
      </c>
      <c r="C238" s="93">
        <f>SUMIF($B$218:$B$236,"ปริญญาโท",C218:C236)</f>
        <v>752</v>
      </c>
      <c r="D238" s="32">
        <f t="shared" ref="D238:D239" si="555">ROUND(C238/12,2)</f>
        <v>62.67</v>
      </c>
      <c r="E238" s="32">
        <f t="shared" ref="E238:E239" si="556">D238*1</f>
        <v>62.67</v>
      </c>
      <c r="F238" s="33"/>
      <c r="G238" s="93">
        <f>SUMIF($B$218:$B$236,"ปริญญาโท",G218:G236)</f>
        <v>457</v>
      </c>
      <c r="H238" s="32">
        <f t="shared" ref="H238:H239" si="557">ROUND(G238/12,2)</f>
        <v>38.08</v>
      </c>
      <c r="I238" s="32">
        <f t="shared" ref="I238:I239" si="558">H238*1</f>
        <v>38.08</v>
      </c>
      <c r="J238" s="33"/>
      <c r="K238" s="93">
        <f>SUMIF($B$218:$B$236,"ปริญญาโท",K218:K236)</f>
        <v>204</v>
      </c>
      <c r="L238" s="32">
        <f t="shared" ref="L238:L239" si="559">ROUND(K238/12,2)</f>
        <v>17</v>
      </c>
      <c r="M238" s="32">
        <f t="shared" ref="M238:M239" si="560">L238*1</f>
        <v>17</v>
      </c>
      <c r="N238" s="33"/>
      <c r="O238" s="136">
        <f t="shared" si="506"/>
        <v>1413</v>
      </c>
      <c r="P238" s="34">
        <f t="shared" ref="P238:P239" si="561">ROUND(O238/24,2)</f>
        <v>58.88</v>
      </c>
      <c r="Q238" s="34">
        <f t="shared" ref="Q238:Q239" si="562">P238*1</f>
        <v>58.88</v>
      </c>
      <c r="R238" s="23"/>
    </row>
    <row r="239" spans="1:18" ht="18.75" customHeight="1" thickBot="1" x14ac:dyDescent="0.4">
      <c r="A239" s="175" t="s">
        <v>22</v>
      </c>
      <c r="B239" s="152" t="s">
        <v>10</v>
      </c>
      <c r="C239" s="94">
        <f>SUMIF($B$218:$B$236,"ปริญญาเอก",C218:C236)</f>
        <v>0</v>
      </c>
      <c r="D239" s="35">
        <f t="shared" si="555"/>
        <v>0</v>
      </c>
      <c r="E239" s="35">
        <f t="shared" si="556"/>
        <v>0</v>
      </c>
      <c r="F239" s="36"/>
      <c r="G239" s="94">
        <f>SUMIF($B$218:$B$236,"ปริญญาเอก",G218:G236)</f>
        <v>0</v>
      </c>
      <c r="H239" s="35">
        <f t="shared" si="557"/>
        <v>0</v>
      </c>
      <c r="I239" s="35">
        <f t="shared" si="558"/>
        <v>0</v>
      </c>
      <c r="J239" s="36"/>
      <c r="K239" s="94">
        <f>SUMIF($B$218:$B$236,"ปริญญาเอก",K218:K236)</f>
        <v>0</v>
      </c>
      <c r="L239" s="35">
        <f t="shared" si="559"/>
        <v>0</v>
      </c>
      <c r="M239" s="35">
        <f t="shared" si="560"/>
        <v>0</v>
      </c>
      <c r="N239" s="36"/>
      <c r="O239" s="137">
        <f t="shared" si="506"/>
        <v>0</v>
      </c>
      <c r="P239" s="37">
        <f t="shared" si="561"/>
        <v>0</v>
      </c>
      <c r="Q239" s="37">
        <f t="shared" si="562"/>
        <v>0</v>
      </c>
      <c r="R239" s="27"/>
    </row>
    <row r="240" spans="1:18" ht="18.75" customHeight="1" x14ac:dyDescent="0.35">
      <c r="A240" s="148" t="s">
        <v>79</v>
      </c>
      <c r="B240" s="149"/>
      <c r="C240" s="80"/>
      <c r="D240" s="28"/>
      <c r="E240" s="28"/>
      <c r="F240" s="29"/>
      <c r="G240" s="79"/>
      <c r="H240" s="28"/>
      <c r="I240" s="28"/>
      <c r="J240" s="29"/>
      <c r="K240" s="80"/>
      <c r="L240" s="28"/>
      <c r="M240" s="28"/>
      <c r="N240" s="29"/>
      <c r="O240" s="30"/>
      <c r="P240" s="30"/>
      <c r="Q240" s="30"/>
      <c r="R240" s="31"/>
    </row>
    <row r="241" spans="1:26" ht="18.75" customHeight="1" x14ac:dyDescent="0.35">
      <c r="A241" s="145" t="s">
        <v>7</v>
      </c>
      <c r="B241" s="145" t="s">
        <v>8</v>
      </c>
      <c r="C241" s="140"/>
      <c r="D241" s="20">
        <f>ROUND(C241/18,2)</f>
        <v>0</v>
      </c>
      <c r="E241" s="20"/>
      <c r="F241" s="21">
        <f>SUM(D241,E242:E243)</f>
        <v>17.100000000000001</v>
      </c>
      <c r="G241" s="81"/>
      <c r="H241" s="20">
        <f>ROUND(G241/18,2)</f>
        <v>0</v>
      </c>
      <c r="I241" s="20"/>
      <c r="J241" s="21">
        <f>SUM(H241,I242:I243)</f>
        <v>7.2</v>
      </c>
      <c r="K241" s="82"/>
      <c r="L241" s="20">
        <f>ROUND(K241/18,2)</f>
        <v>0</v>
      </c>
      <c r="M241" s="20"/>
      <c r="N241" s="21">
        <f>SUM(L241,M242:M243)</f>
        <v>0</v>
      </c>
      <c r="O241" s="22">
        <f>SUMIF($C$3:$N$3,"SCH",C241:N241)</f>
        <v>0</v>
      </c>
      <c r="P241" s="22">
        <f>ROUND(O241/36,2)</f>
        <v>0</v>
      </c>
      <c r="Q241" s="22"/>
      <c r="R241" s="23">
        <f>SUM(P241,Q242:Q243)</f>
        <v>12.15</v>
      </c>
    </row>
    <row r="242" spans="1:26" ht="18.75" customHeight="1" x14ac:dyDescent="0.35">
      <c r="A242" s="163"/>
      <c r="B242" s="145" t="s">
        <v>9</v>
      </c>
      <c r="C242" s="140">
        <v>114</v>
      </c>
      <c r="D242" s="20">
        <f t="shared" ref="D242:D243" si="563">ROUND(C242/12,2)</f>
        <v>9.5</v>
      </c>
      <c r="E242" s="20">
        <f t="shared" ref="E242:E243" si="564">D242*1.8</f>
        <v>17.100000000000001</v>
      </c>
      <c r="F242" s="21"/>
      <c r="G242" s="81">
        <v>48</v>
      </c>
      <c r="H242" s="20">
        <f t="shared" ref="H242:H243" si="565">ROUND(G242/12,2)</f>
        <v>4</v>
      </c>
      <c r="I242" s="20">
        <f t="shared" ref="I242:I243" si="566">H242*1.8</f>
        <v>7.2</v>
      </c>
      <c r="J242" s="21"/>
      <c r="K242" s="82"/>
      <c r="L242" s="20">
        <f t="shared" ref="L242:L243" si="567">ROUND(K242/12,2)</f>
        <v>0</v>
      </c>
      <c r="M242" s="20">
        <f t="shared" ref="M242:M243" si="568">L242*1.8</f>
        <v>0</v>
      </c>
      <c r="N242" s="21"/>
      <c r="O242" s="22">
        <f>SUMIF($C$3:$N$3,"SCH",C242:N242)</f>
        <v>162</v>
      </c>
      <c r="P242" s="22">
        <f t="shared" ref="P242:P243" si="569">ROUND(O242/24,2)</f>
        <v>6.75</v>
      </c>
      <c r="Q242" s="22">
        <f t="shared" ref="Q242:Q243" si="570">P242*1.8</f>
        <v>12.15</v>
      </c>
      <c r="R242" s="23"/>
    </row>
    <row r="243" spans="1:26" ht="18.75" customHeight="1" thickBot="1" x14ac:dyDescent="0.4">
      <c r="A243" s="164"/>
      <c r="B243" s="146" t="s">
        <v>10</v>
      </c>
      <c r="C243" s="298"/>
      <c r="D243" s="24">
        <f t="shared" si="563"/>
        <v>0</v>
      </c>
      <c r="E243" s="24">
        <f t="shared" si="564"/>
        <v>0</v>
      </c>
      <c r="F243" s="25"/>
      <c r="G243" s="83"/>
      <c r="H243" s="24">
        <f t="shared" si="565"/>
        <v>0</v>
      </c>
      <c r="I243" s="24">
        <f t="shared" si="566"/>
        <v>0</v>
      </c>
      <c r="J243" s="25"/>
      <c r="K243" s="84"/>
      <c r="L243" s="24">
        <f t="shared" si="567"/>
        <v>0</v>
      </c>
      <c r="M243" s="24">
        <f t="shared" si="568"/>
        <v>0</v>
      </c>
      <c r="N243" s="25"/>
      <c r="O243" s="92">
        <f>SUMIF($C$3:$N$3,"SCH",C243:N243)</f>
        <v>0</v>
      </c>
      <c r="P243" s="26">
        <f t="shared" si="569"/>
        <v>0</v>
      </c>
      <c r="Q243" s="26">
        <f t="shared" si="570"/>
        <v>0</v>
      </c>
      <c r="R243" s="27"/>
    </row>
    <row r="244" spans="1:26" ht="18.75" customHeight="1" x14ac:dyDescent="0.35">
      <c r="A244" s="148" t="s">
        <v>80</v>
      </c>
      <c r="B244" s="149"/>
      <c r="C244" s="268"/>
      <c r="D244" s="28"/>
      <c r="E244" s="28"/>
      <c r="F244" s="29"/>
      <c r="G244" s="79"/>
      <c r="H244" s="28"/>
      <c r="I244" s="28"/>
      <c r="J244" s="29"/>
      <c r="K244" s="80"/>
      <c r="L244" s="28"/>
      <c r="M244" s="28"/>
      <c r="N244" s="29"/>
      <c r="O244" s="30"/>
      <c r="P244" s="30"/>
      <c r="Q244" s="30"/>
      <c r="R244" s="31"/>
    </row>
    <row r="245" spans="1:26" ht="18.75" customHeight="1" x14ac:dyDescent="0.35">
      <c r="A245" s="145" t="s">
        <v>7</v>
      </c>
      <c r="B245" s="145" t="s">
        <v>8</v>
      </c>
      <c r="C245" s="140"/>
      <c r="D245" s="20">
        <f>ROUND(C245/18,2)</f>
        <v>0</v>
      </c>
      <c r="E245" s="20"/>
      <c r="F245" s="21">
        <f>SUM(D245,E246:E247)</f>
        <v>0</v>
      </c>
      <c r="G245" s="81"/>
      <c r="H245" s="20">
        <f>ROUND(G245/18,2)</f>
        <v>0</v>
      </c>
      <c r="I245" s="20"/>
      <c r="J245" s="21">
        <f>SUM(H245,I246:I247)</f>
        <v>0</v>
      </c>
      <c r="K245" s="82"/>
      <c r="L245" s="20">
        <f>ROUND(K245/18,2)</f>
        <v>0</v>
      </c>
      <c r="M245" s="20"/>
      <c r="N245" s="21">
        <f>SUM(L245,M246:M247)</f>
        <v>0</v>
      </c>
      <c r="O245" s="22">
        <f>SUMIF($C$3:$N$3,"SCH",C245:N245)</f>
        <v>0</v>
      </c>
      <c r="P245" s="22">
        <f>ROUND(O245/36,2)</f>
        <v>0</v>
      </c>
      <c r="Q245" s="22"/>
      <c r="R245" s="23">
        <f>SUM(P245,Q246:Q247)</f>
        <v>0</v>
      </c>
    </row>
    <row r="246" spans="1:26" ht="18.75" customHeight="1" x14ac:dyDescent="0.35">
      <c r="A246" s="176"/>
      <c r="B246" s="145" t="s">
        <v>9</v>
      </c>
      <c r="C246" s="140"/>
      <c r="D246" s="20">
        <f t="shared" ref="D246:D247" si="571">ROUND(C246/12,2)</f>
        <v>0</v>
      </c>
      <c r="E246" s="20">
        <f t="shared" ref="E246:E247" si="572">D246*1.8</f>
        <v>0</v>
      </c>
      <c r="F246" s="21"/>
      <c r="G246" s="81"/>
      <c r="H246" s="20">
        <f t="shared" ref="H246:H247" si="573">ROUND(G246/12,2)</f>
        <v>0</v>
      </c>
      <c r="I246" s="20">
        <f t="shared" ref="I246:I247" si="574">H246*1.8</f>
        <v>0</v>
      </c>
      <c r="J246" s="21"/>
      <c r="K246" s="82"/>
      <c r="L246" s="20">
        <f t="shared" ref="L246:L247" si="575">ROUND(K246/12,2)</f>
        <v>0</v>
      </c>
      <c r="M246" s="20">
        <f t="shared" ref="M246:M247" si="576">L246*1.8</f>
        <v>0</v>
      </c>
      <c r="N246" s="21"/>
      <c r="O246" s="22">
        <f>SUMIF($C$3:$N$3,"SCH",C246:N246)</f>
        <v>0</v>
      </c>
      <c r="P246" s="22">
        <f t="shared" ref="P246:P247" si="577">ROUND(O246/24,2)</f>
        <v>0</v>
      </c>
      <c r="Q246" s="22">
        <f t="shared" ref="Q246:Q247" si="578">P246*1.8</f>
        <v>0</v>
      </c>
      <c r="R246" s="23"/>
    </row>
    <row r="247" spans="1:26" ht="18.75" customHeight="1" thickBot="1" x14ac:dyDescent="0.4">
      <c r="A247" s="164"/>
      <c r="B247" s="146" t="s">
        <v>10</v>
      </c>
      <c r="C247" s="298"/>
      <c r="D247" s="24">
        <f t="shared" si="571"/>
        <v>0</v>
      </c>
      <c r="E247" s="24">
        <f t="shared" si="572"/>
        <v>0</v>
      </c>
      <c r="F247" s="25"/>
      <c r="G247" s="83"/>
      <c r="H247" s="24">
        <f t="shared" si="573"/>
        <v>0</v>
      </c>
      <c r="I247" s="24">
        <f t="shared" si="574"/>
        <v>0</v>
      </c>
      <c r="J247" s="25"/>
      <c r="K247" s="84"/>
      <c r="L247" s="24">
        <f t="shared" si="575"/>
        <v>0</v>
      </c>
      <c r="M247" s="24">
        <f t="shared" si="576"/>
        <v>0</v>
      </c>
      <c r="N247" s="25"/>
      <c r="O247" s="92">
        <f>SUMIF($C$3:$N$3,"SCH",C247:N247)</f>
        <v>0</v>
      </c>
      <c r="P247" s="26">
        <f t="shared" si="577"/>
        <v>0</v>
      </c>
      <c r="Q247" s="26">
        <f t="shared" si="578"/>
        <v>0</v>
      </c>
      <c r="R247" s="27"/>
    </row>
    <row r="248" spans="1:26" ht="18.75" customHeight="1" x14ac:dyDescent="0.35">
      <c r="A248" s="148" t="s">
        <v>81</v>
      </c>
      <c r="B248" s="149"/>
      <c r="C248" s="268"/>
      <c r="D248" s="28"/>
      <c r="E248" s="28"/>
      <c r="F248" s="29"/>
      <c r="G248" s="79"/>
      <c r="H248" s="28"/>
      <c r="I248" s="28"/>
      <c r="J248" s="29"/>
      <c r="K248" s="80"/>
      <c r="L248" s="28"/>
      <c r="M248" s="28"/>
      <c r="N248" s="29"/>
      <c r="O248" s="30"/>
      <c r="P248" s="30"/>
      <c r="Q248" s="30"/>
      <c r="R248" s="31"/>
      <c r="S248" s="65"/>
      <c r="T248" s="65"/>
      <c r="U248" s="65"/>
      <c r="V248" s="65"/>
      <c r="W248" s="65"/>
      <c r="X248" s="65"/>
      <c r="Y248" s="65"/>
      <c r="Z248" s="65"/>
    </row>
    <row r="249" spans="1:26" ht="18.75" customHeight="1" x14ac:dyDescent="0.35">
      <c r="A249" s="145" t="s">
        <v>7</v>
      </c>
      <c r="B249" s="145" t="s">
        <v>8</v>
      </c>
      <c r="C249" s="140">
        <v>2399.7000000000003</v>
      </c>
      <c r="D249" s="20">
        <f>ROUND(C249/18,2)</f>
        <v>133.32</v>
      </c>
      <c r="E249" s="20"/>
      <c r="F249" s="21">
        <f>SUM(D249,E250:E251)</f>
        <v>133.32</v>
      </c>
      <c r="G249" s="81">
        <v>1545</v>
      </c>
      <c r="H249" s="20">
        <f>ROUND(G249/18,2)</f>
        <v>85.83</v>
      </c>
      <c r="I249" s="20"/>
      <c r="J249" s="21">
        <f>SUM(H249,I250:I251)</f>
        <v>85.83</v>
      </c>
      <c r="K249" s="82">
        <v>219</v>
      </c>
      <c r="L249" s="20">
        <f>ROUND(K249/18,2)</f>
        <v>12.17</v>
      </c>
      <c r="M249" s="20"/>
      <c r="N249" s="21">
        <f>SUM(L249,M250:M251)</f>
        <v>12.17</v>
      </c>
      <c r="O249" s="22">
        <f>SUMIF($C$3:$N$3,"SCH",C249:N249)</f>
        <v>4163.7000000000007</v>
      </c>
      <c r="P249" s="22">
        <f>ROUND(O249/36,2)</f>
        <v>115.66</v>
      </c>
      <c r="Q249" s="22"/>
      <c r="R249" s="23">
        <f>SUM(P249,Q250:Q251)</f>
        <v>115.66</v>
      </c>
      <c r="S249" s="65"/>
      <c r="T249" s="65"/>
      <c r="U249" s="65"/>
      <c r="V249" s="65"/>
      <c r="W249" s="65"/>
      <c r="X249" s="65"/>
      <c r="Y249" s="65"/>
      <c r="Z249" s="65"/>
    </row>
    <row r="250" spans="1:26" ht="18.75" customHeight="1" x14ac:dyDescent="0.35">
      <c r="A250" s="176"/>
      <c r="B250" s="145" t="s">
        <v>9</v>
      </c>
      <c r="C250" s="140"/>
      <c r="D250" s="20">
        <f t="shared" ref="D250:D251" si="579">ROUND(C250/12,2)</f>
        <v>0</v>
      </c>
      <c r="E250" s="20">
        <f t="shared" ref="E250:E251" si="580">D250*1.8</f>
        <v>0</v>
      </c>
      <c r="F250" s="21"/>
      <c r="G250" s="81"/>
      <c r="H250" s="20">
        <f t="shared" ref="H250:H251" si="581">ROUND(G250/12,2)</f>
        <v>0</v>
      </c>
      <c r="I250" s="20">
        <f t="shared" ref="I250:I251" si="582">H250*1.8</f>
        <v>0</v>
      </c>
      <c r="J250" s="21"/>
      <c r="K250" s="82"/>
      <c r="L250" s="20">
        <f t="shared" ref="L250:L251" si="583">ROUND(K250/12,2)</f>
        <v>0</v>
      </c>
      <c r="M250" s="20">
        <f t="shared" ref="M250:M251" si="584">L250*1.8</f>
        <v>0</v>
      </c>
      <c r="N250" s="21"/>
      <c r="O250" s="22">
        <f>SUMIF($C$3:$N$3,"SCH",C250:N250)</f>
        <v>0</v>
      </c>
      <c r="P250" s="22">
        <f t="shared" ref="P250:P251" si="585">ROUND(O250/24,2)</f>
        <v>0</v>
      </c>
      <c r="Q250" s="22">
        <f t="shared" ref="Q250:Q251" si="586">P250*1.8</f>
        <v>0</v>
      </c>
      <c r="R250" s="23"/>
      <c r="S250" s="65"/>
      <c r="T250" s="65"/>
      <c r="U250" s="65"/>
      <c r="V250" s="65"/>
      <c r="W250" s="65"/>
      <c r="X250" s="65"/>
      <c r="Y250" s="65"/>
      <c r="Z250" s="65"/>
    </row>
    <row r="251" spans="1:26" ht="18.75" customHeight="1" thickBot="1" x14ac:dyDescent="0.4">
      <c r="A251" s="164"/>
      <c r="B251" s="146" t="s">
        <v>10</v>
      </c>
      <c r="C251" s="298"/>
      <c r="D251" s="24">
        <f t="shared" si="579"/>
        <v>0</v>
      </c>
      <c r="E251" s="24">
        <f t="shared" si="580"/>
        <v>0</v>
      </c>
      <c r="F251" s="25"/>
      <c r="G251" s="83"/>
      <c r="H251" s="24">
        <f t="shared" si="581"/>
        <v>0</v>
      </c>
      <c r="I251" s="24">
        <f t="shared" si="582"/>
        <v>0</v>
      </c>
      <c r="J251" s="25"/>
      <c r="K251" s="84"/>
      <c r="L251" s="24">
        <f t="shared" si="583"/>
        <v>0</v>
      </c>
      <c r="M251" s="24">
        <f t="shared" si="584"/>
        <v>0</v>
      </c>
      <c r="N251" s="25"/>
      <c r="O251" s="92">
        <f>SUMIF($C$3:$N$3,"SCH",C251:N251)</f>
        <v>0</v>
      </c>
      <c r="P251" s="26">
        <f t="shared" si="585"/>
        <v>0</v>
      </c>
      <c r="Q251" s="26">
        <f t="shared" si="586"/>
        <v>0</v>
      </c>
      <c r="R251" s="27"/>
      <c r="S251" s="65"/>
      <c r="T251" s="65"/>
      <c r="U251" s="65"/>
      <c r="V251" s="65"/>
      <c r="W251" s="65"/>
      <c r="X251" s="65"/>
      <c r="Y251" s="65"/>
      <c r="Z251" s="65"/>
    </row>
    <row r="252" spans="1:26" ht="18.75" customHeight="1" x14ac:dyDescent="0.35">
      <c r="A252" s="165" t="s">
        <v>82</v>
      </c>
      <c r="B252" s="155" t="s">
        <v>8</v>
      </c>
      <c r="C252" s="42">
        <f>SUMIFS(C4:C251, $B$4:$B$251, "ปริญญาตรี", $A$4:$A$251, "&lt;&gt;รวมทั้งคณะ")</f>
        <v>44771.1</v>
      </c>
      <c r="D252" s="43">
        <f>SUMIFS(D4:D251, $B$4:$B$251, "ปริญญาตรี", $A$4:$A$251, "&lt;&gt;รวมทั้งคณะ")</f>
        <v>2487.2900000000004</v>
      </c>
      <c r="E252" s="40"/>
      <c r="F252" s="41">
        <f>ROUND(SUM(D252,E253:E255),2)</f>
        <v>3165.17</v>
      </c>
      <c r="G252" s="42">
        <f>SUMIFS(G4:G251, $B$4:$B$251, "ปริญญาตรี", $A$4:$A$251, "&lt;&gt;รวมทั้งคณะ")</f>
        <v>54595</v>
      </c>
      <c r="H252" s="43">
        <f>SUMIFS(H4:H251, $B$4:$B$251, "ปริญญาตรี", $A$4:$A$251, "&lt;&gt;รวมทั้งคณะ")</f>
        <v>3033.0299999999997</v>
      </c>
      <c r="I252" s="40"/>
      <c r="J252" s="41">
        <f>ROUND(SUM(H252,I253:I255),2)</f>
        <v>4071.37</v>
      </c>
      <c r="K252" s="42">
        <f>SUMIFS(K4:K251, $B$4:$B$251, "ปริญญาตรี", $A$4:$A$251, "&lt;&gt;รวมทั้งคณะ")</f>
        <v>8014</v>
      </c>
      <c r="L252" s="43">
        <f>SUMIFS(L4:L251, $B$4:$B$251, "ปริญญาตรี", $A$4:$A$251, "&lt;&gt;รวมทั้งคณะ")</f>
        <v>445.23</v>
      </c>
      <c r="M252" s="40"/>
      <c r="N252" s="41">
        <f>ROUND(SUM(L252,M253:M255),2)</f>
        <v>676.37</v>
      </c>
      <c r="O252" s="42">
        <f>SUMIFS(O4:O251, $B$4:$B$251, "ปริญญาตรี", $A$4:$A$251, "&lt;&gt;รวมทั้งคณะ")</f>
        <v>107380.10000000002</v>
      </c>
      <c r="P252" s="43">
        <f>SUMIFS(P4:P251, $B$4:$B$251, "ปริญญาตรี", $A$4:$A$251, "&lt;&gt;รวมทั้งคณะ")</f>
        <v>2982.77</v>
      </c>
      <c r="Q252" s="40"/>
      <c r="R252" s="41">
        <f>ROUND(SUM(P252,Q253:Q255),2)</f>
        <v>3956.54</v>
      </c>
    </row>
    <row r="253" spans="1:26" ht="18.75" customHeight="1" x14ac:dyDescent="0.35">
      <c r="A253" s="166" t="s">
        <v>82</v>
      </c>
      <c r="B253" s="155" t="s">
        <v>64</v>
      </c>
      <c r="C253" s="42">
        <f>SUMIFS(C4:C251, $B$4:$B$251, "ป.บัณฑิต", $A$4:$A$251, "&lt;&gt;รวมทั้งคณะ")</f>
        <v>0</v>
      </c>
      <c r="D253" s="46">
        <f>SUMIFS(D4:D251, $B$4:$B$251, "ป.บัณฑิต", $A$4:$A$251, "&lt;&gt;รวมทั้งคณะ")</f>
        <v>0</v>
      </c>
      <c r="E253" s="129">
        <f>SUMIFS(E4:E251, $B$4:$B$251, "ป.บัณฑิต", $A$4:$A$251, "&lt;&gt;รวมทั้งคณะ")</f>
        <v>0</v>
      </c>
      <c r="F253" s="45"/>
      <c r="G253" s="42">
        <f>SUMIFS(G4:G251, $B$4:$B$251, "ป.บัณฑิต", $A$4:$A$251, "&lt;&gt;รวมทั้งคณะ")</f>
        <v>672</v>
      </c>
      <c r="H253" s="46">
        <f>SUMIFS(H4:H251, $B$4:$B$251, "ป.บัณฑิต", $A$4:$A$251, "&lt;&gt;รวมทั้งคณะ")</f>
        <v>56</v>
      </c>
      <c r="I253" s="129">
        <f>SUMIFS(I4:I251, $B$4:$B$251, "ป.บัณฑิต", $A$4:$A$251, "&lt;&gt;รวมทั้งคณะ")</f>
        <v>84</v>
      </c>
      <c r="J253" s="45"/>
      <c r="K253" s="42">
        <f>SUMIFS(K4:K251, $B$4:$B$251, "ป.บัณฑิต", $A$4:$A$251, "&lt;&gt;รวมทั้งคณะ")</f>
        <v>416</v>
      </c>
      <c r="L253" s="46">
        <f>SUMIFS(L4:L251, $B$4:$B$251, "ป.บัณฑิต", $A$4:$A$251, "&lt;&gt;รวมทั้งคณะ")</f>
        <v>34.67</v>
      </c>
      <c r="M253" s="129">
        <f>SUMIFS(M4:M251, $B$4:$B$251, "ป.บัณฑิต", $A$4:$A$251, "&lt;&gt;รวมทั้งคณะ")</f>
        <v>52.005000000000003</v>
      </c>
      <c r="N253" s="45"/>
      <c r="O253" s="42">
        <f>SUMIFS(O4:O251, $B$4:$B$251, "ป.บัณฑิต", $A$4:$A$251, "&lt;&gt;รวมทั้งคณะ")</f>
        <v>1088</v>
      </c>
      <c r="P253" s="46">
        <f>SUMIFS(P4:P251, $B$4:$B$251, "ป.บัณฑิต", $A$4:$A$251, "&lt;&gt;รวมทั้งคณะ")</f>
        <v>45.33</v>
      </c>
      <c r="Q253" s="129">
        <f>SUMIFS(Q4:Q251, $B$4:$B$251, "ป.บัณฑิต", $A$4:$A$251, "&lt;&gt;รวมทั้งคณะ")</f>
        <v>67.995000000000005</v>
      </c>
      <c r="R253" s="45"/>
    </row>
    <row r="254" spans="1:26" ht="18.75" customHeight="1" x14ac:dyDescent="0.35">
      <c r="A254" s="166" t="s">
        <v>82</v>
      </c>
      <c r="B254" s="155" t="s">
        <v>9</v>
      </c>
      <c r="C254" s="42">
        <f>SUMIFS(C4:C251, $B$4:$B$251, "ปริญญาโท", $A$4:$A$251, "&lt;&gt;รวมทั้งคณะ")</f>
        <v>5077</v>
      </c>
      <c r="D254" s="46">
        <f>SUMIFS(D4:D251, $B$4:$B$251, "ปริญญาโท", $A$4:$A$251, "&lt;&gt;รวมทั้งคณะ")</f>
        <v>423.09000000000003</v>
      </c>
      <c r="E254" s="40">
        <f>SUMIFS(E4:E251, $B$4:$B$251, "ปริญญาโท", $A$4:$A$251, "&lt;&gt;รวมทั้งคณะ")</f>
        <v>640.52600000000007</v>
      </c>
      <c r="F254" s="45"/>
      <c r="G254" s="42">
        <f>SUMIFS(G4:G251, $B$4:$B$251, "ปริญญาโท", $A$4:$A$251, "&lt;&gt;รวมทั้งคณะ")</f>
        <v>7238</v>
      </c>
      <c r="H254" s="46">
        <f>SUMIFS(H4:H251, $B$4:$B$251, "ปริญญาโท", $A$4:$A$251, "&lt;&gt;รวมทั้งคณะ")</f>
        <v>603.16000000000008</v>
      </c>
      <c r="I254" s="40">
        <f>SUMIFS(I4:I251, $B$4:$B$251, "ปริญญาโท", $A$4:$A$251, "&lt;&gt;รวมทั้งคณะ")</f>
        <v>927.48500000000013</v>
      </c>
      <c r="J254" s="45"/>
      <c r="K254" s="42">
        <f>SUMIFS(K4:K251, $B$4:$B$251, "ปริญญาโท", $A$4:$A$251, "&lt;&gt;รวมทั้งคณะ")</f>
        <v>1317</v>
      </c>
      <c r="L254" s="46">
        <f>SUMIFS(L4:L251, $B$4:$B$251, "ปริญญาโท", $A$4:$A$251, "&lt;&gt;รวมทั้งคณะ")</f>
        <v>109.74</v>
      </c>
      <c r="M254" s="40">
        <f>SUMIFS(M4:M251, $B$4:$B$251, "ปริญญาโท", $A$4:$A$251, "&lt;&gt;รวมทั้งคณะ")</f>
        <v>166.52999999999997</v>
      </c>
      <c r="N254" s="45"/>
      <c r="O254" s="42">
        <f>SUMIFS(O4:O251, $B$4:$B$251, "ปริญญาโท", $A$4:$A$251, "&lt;&gt;รวมทั้งคณะ")</f>
        <v>13632</v>
      </c>
      <c r="P254" s="46">
        <f>SUMIFS(P4:P251, $B$4:$B$251, "ปริญญาโท", $A$4:$A$251, "&lt;&gt;รวมทั้งคณะ")</f>
        <v>568.05000000000007</v>
      </c>
      <c r="Q254" s="40">
        <f>SUMIFS(Q4:Q251, $B$4:$B$251, "ปริญญาโท", $A$4:$A$251, "&lt;&gt;รวมทั้งคณะ")</f>
        <v>867.36500000000012</v>
      </c>
      <c r="R254" s="45"/>
    </row>
    <row r="255" spans="1:26" ht="18.75" customHeight="1" thickBot="1" x14ac:dyDescent="0.4">
      <c r="A255" s="167" t="s">
        <v>82</v>
      </c>
      <c r="B255" s="156" t="s">
        <v>10</v>
      </c>
      <c r="C255" s="49">
        <f>SUMIFS(C4:C251, $B$4:$B$251, "ปริญญาเอก", $A$4:$A$251, "&lt;&gt;รวมทั้งคณะ")</f>
        <v>249</v>
      </c>
      <c r="D255" s="50">
        <f>SUMIFS(D4:D251, $B$4:$B$251, "ปริญญาเอก", $A$4:$A$251, "&lt;&gt;รวมทั้งคณะ")</f>
        <v>20.75</v>
      </c>
      <c r="E255" s="47">
        <f>SUMIFS(E4:E251, $B$4:$B$251, "ปริญญาเอก", $A$4:$A$251, "&lt;&gt;รวมทั้งคณะ")</f>
        <v>37.35</v>
      </c>
      <c r="F255" s="48"/>
      <c r="G255" s="49">
        <f>SUMIFS(G4:G251, $B$4:$B$251, "ปริญญาเอก", $A$4:$A$251, "&lt;&gt;รวมทั้งคณะ")</f>
        <v>180</v>
      </c>
      <c r="H255" s="50">
        <f>SUMIFS(H4:H251, $B$4:$B$251, "ปริญญาเอก", $A$4:$A$251, "&lt;&gt;รวมทั้งคณะ")</f>
        <v>15</v>
      </c>
      <c r="I255" s="47">
        <f>SUMIFS(I4:I251, $B$4:$B$251, "ปริญญาเอก", $A$4:$A$251, "&lt;&gt;รวมทั้งคณะ")</f>
        <v>26.85</v>
      </c>
      <c r="J255" s="48"/>
      <c r="K255" s="49">
        <f>SUMIFS(K4:K251, $B$4:$B$251, "ปริญญาเอก", $A$4:$A$251, "&lt;&gt;รวมทั้งคณะ")</f>
        <v>84</v>
      </c>
      <c r="L255" s="50">
        <f>SUMIFS(L4:L251, $B$4:$B$251, "ปริญญาเอก", $A$4:$A$251, "&lt;&gt;รวมทั้งคณะ")</f>
        <v>7</v>
      </c>
      <c r="M255" s="47">
        <f>SUMIFS(M4:M251, $B$4:$B$251, "ปริญญาเอก", $A$4:$A$251, "&lt;&gt;รวมทั้งคณะ")</f>
        <v>12.6</v>
      </c>
      <c r="N255" s="48"/>
      <c r="O255" s="49">
        <f>SUMIFS(O4:O251, $B$4:$B$251, "ปริญญาเอก", $A$4:$A$251, "&lt;&gt;รวมทั้งคณะ")</f>
        <v>513</v>
      </c>
      <c r="P255" s="50">
        <f>SUMIFS(P4:P251, $B$4:$B$251, "ปริญญาเอก", $A$4:$A$251, "&lt;&gt;รวมทั้งคณะ")</f>
        <v>21.38</v>
      </c>
      <c r="Q255" s="47">
        <f>SUMIFS(Q4:Q251, $B$4:$B$251, "ปริญญาเอก", $A$4:$A$251, "&lt;&gt;รวมทั้งคณะ")</f>
        <v>38.409000000000006</v>
      </c>
      <c r="R255" s="48"/>
    </row>
    <row r="256" spans="1:26" s="51" customFormat="1" ht="18.75" customHeight="1" x14ac:dyDescent="0.3">
      <c r="C256" s="141"/>
      <c r="D256" s="141"/>
      <c r="E256" s="141"/>
      <c r="F256" s="141"/>
      <c r="G256" s="141"/>
      <c r="H256" s="141"/>
      <c r="I256" s="141"/>
      <c r="J256" s="141"/>
      <c r="K256" s="141"/>
      <c r="L256" s="141"/>
      <c r="M256" s="141"/>
      <c r="N256" s="141"/>
      <c r="O256" s="141"/>
      <c r="P256" s="141"/>
      <c r="Q256" s="141"/>
      <c r="R256" s="141"/>
    </row>
    <row r="257" spans="1:26" ht="18.75" customHeight="1" x14ac:dyDescent="0.35">
      <c r="A257" s="162" t="s">
        <v>83</v>
      </c>
      <c r="B257" s="157"/>
      <c r="C257" s="142"/>
      <c r="D257" s="52"/>
      <c r="E257" s="52"/>
      <c r="F257" s="52"/>
      <c r="G257" s="52"/>
      <c r="H257" s="52"/>
      <c r="I257" s="52"/>
      <c r="J257" s="52"/>
      <c r="K257" s="142"/>
      <c r="L257" s="52"/>
      <c r="M257" s="52"/>
      <c r="N257" s="52"/>
      <c r="O257" s="53"/>
      <c r="P257" s="52"/>
      <c r="Q257" s="52"/>
      <c r="R257" s="53"/>
    </row>
    <row r="258" spans="1:26" ht="18.75" customHeight="1" x14ac:dyDescent="0.35">
      <c r="A258" s="144" t="s">
        <v>84</v>
      </c>
      <c r="B258" s="158"/>
      <c r="C258" s="82"/>
      <c r="D258" s="20"/>
      <c r="E258" s="20"/>
      <c r="F258" s="21"/>
      <c r="G258" s="81"/>
      <c r="H258" s="20"/>
      <c r="I258" s="20"/>
      <c r="J258" s="21"/>
      <c r="K258" s="82"/>
      <c r="L258" s="20"/>
      <c r="M258" s="20"/>
      <c r="N258" s="21"/>
      <c r="O258" s="34"/>
      <c r="P258" s="22"/>
      <c r="Q258" s="22"/>
      <c r="R258" s="23"/>
    </row>
    <row r="259" spans="1:26" ht="18.75" customHeight="1" x14ac:dyDescent="0.35">
      <c r="A259" s="145" t="s">
        <v>7</v>
      </c>
      <c r="B259" s="145" t="s">
        <v>8</v>
      </c>
      <c r="C259" s="140"/>
      <c r="D259" s="20">
        <f>ROUND(C259/18,2)</f>
        <v>0</v>
      </c>
      <c r="E259" s="20"/>
      <c r="F259" s="21">
        <f>SUM(D259,E260:E261)</f>
        <v>0</v>
      </c>
      <c r="G259" s="81"/>
      <c r="H259" s="20">
        <f>ROUND(G259/18,2)</f>
        <v>0</v>
      </c>
      <c r="I259" s="20"/>
      <c r="J259" s="21">
        <f>SUM(H259,I260:I261)</f>
        <v>0</v>
      </c>
      <c r="K259" s="82"/>
      <c r="L259" s="20">
        <f>ROUND(K259/18,2)</f>
        <v>0</v>
      </c>
      <c r="M259" s="20"/>
      <c r="N259" s="21">
        <f>SUM(L259,M260:M261)</f>
        <v>0</v>
      </c>
      <c r="O259" s="22">
        <f t="shared" ref="O259:O269" si="587">SUMIF($C$3:$N$3,"SCH",C259:N259)</f>
        <v>0</v>
      </c>
      <c r="P259" s="22">
        <f>ROUND(O259/36,2)</f>
        <v>0</v>
      </c>
      <c r="Q259" s="22"/>
      <c r="R259" s="23">
        <f>SUM(P259,Q260:Q261)</f>
        <v>0</v>
      </c>
    </row>
    <row r="260" spans="1:26" ht="18.75" customHeight="1" x14ac:dyDescent="0.35">
      <c r="A260" s="163"/>
      <c r="B260" s="145" t="s">
        <v>9</v>
      </c>
      <c r="C260" s="140"/>
      <c r="D260" s="20">
        <f t="shared" ref="D260:D261" si="588">ROUND(C260/12,2)</f>
        <v>0</v>
      </c>
      <c r="E260" s="20">
        <f t="shared" ref="E260:E261" si="589">D260*2</f>
        <v>0</v>
      </c>
      <c r="F260" s="21"/>
      <c r="G260" s="81"/>
      <c r="H260" s="20">
        <f t="shared" ref="H260:H261" si="590">ROUND(G260/12,2)</f>
        <v>0</v>
      </c>
      <c r="I260" s="20">
        <f t="shared" ref="I260:I261" si="591">H260*2</f>
        <v>0</v>
      </c>
      <c r="J260" s="21"/>
      <c r="K260" s="82"/>
      <c r="L260" s="20">
        <f t="shared" ref="L260:L261" si="592">ROUND(K260/12,2)</f>
        <v>0</v>
      </c>
      <c r="M260" s="20">
        <f t="shared" ref="M260:M261" si="593">L260*2</f>
        <v>0</v>
      </c>
      <c r="N260" s="21"/>
      <c r="O260" s="22">
        <f t="shared" si="587"/>
        <v>0</v>
      </c>
      <c r="P260" s="22">
        <f t="shared" ref="P260:P261" si="594">ROUND(O260/24,2)</f>
        <v>0</v>
      </c>
      <c r="Q260" s="22">
        <f t="shared" ref="Q260:Q261" si="595">P260*2</f>
        <v>0</v>
      </c>
      <c r="R260" s="23"/>
    </row>
    <row r="261" spans="1:26" ht="18.75" customHeight="1" thickBot="1" x14ac:dyDescent="0.4">
      <c r="A261" s="164"/>
      <c r="B261" s="146" t="s">
        <v>10</v>
      </c>
      <c r="C261" s="298"/>
      <c r="D261" s="24">
        <f t="shared" si="588"/>
        <v>0</v>
      </c>
      <c r="E261" s="24">
        <f t="shared" si="589"/>
        <v>0</v>
      </c>
      <c r="F261" s="25"/>
      <c r="G261" s="83"/>
      <c r="H261" s="24">
        <f t="shared" si="590"/>
        <v>0</v>
      </c>
      <c r="I261" s="24">
        <f t="shared" si="591"/>
        <v>0</v>
      </c>
      <c r="J261" s="25"/>
      <c r="K261" s="84"/>
      <c r="L261" s="24">
        <f t="shared" si="592"/>
        <v>0</v>
      </c>
      <c r="M261" s="24">
        <f t="shared" si="593"/>
        <v>0</v>
      </c>
      <c r="N261" s="25"/>
      <c r="O261" s="92">
        <f t="shared" si="587"/>
        <v>0</v>
      </c>
      <c r="P261" s="26">
        <f t="shared" si="594"/>
        <v>0</v>
      </c>
      <c r="Q261" s="26">
        <f t="shared" si="595"/>
        <v>0</v>
      </c>
      <c r="R261" s="27"/>
    </row>
    <row r="262" spans="1:26" ht="18.75" customHeight="1" x14ac:dyDescent="0.35">
      <c r="A262" s="148" t="s">
        <v>85</v>
      </c>
      <c r="B262" s="149"/>
      <c r="C262" s="268"/>
      <c r="D262" s="28"/>
      <c r="E262" s="28"/>
      <c r="F262" s="29"/>
      <c r="G262" s="79"/>
      <c r="H262" s="28"/>
      <c r="I262" s="28"/>
      <c r="J262" s="29"/>
      <c r="K262" s="80"/>
      <c r="L262" s="28"/>
      <c r="M262" s="28"/>
      <c r="N262" s="29"/>
      <c r="O262" s="66">
        <f t="shared" si="587"/>
        <v>0</v>
      </c>
      <c r="P262" s="30"/>
      <c r="Q262" s="30"/>
      <c r="R262" s="31"/>
    </row>
    <row r="263" spans="1:26" ht="18.75" customHeight="1" x14ac:dyDescent="0.35">
      <c r="A263" s="145" t="s">
        <v>7</v>
      </c>
      <c r="B263" s="145" t="s">
        <v>8</v>
      </c>
      <c r="C263" s="140">
        <v>38.72</v>
      </c>
      <c r="D263" s="20">
        <f>ROUND(C263/18,2)</f>
        <v>2.15</v>
      </c>
      <c r="E263" s="20"/>
      <c r="F263" s="21">
        <f>SUM(D263,E264:E265)</f>
        <v>2.15</v>
      </c>
      <c r="G263" s="81"/>
      <c r="H263" s="20">
        <f>ROUND(G263/18,2)</f>
        <v>0</v>
      </c>
      <c r="I263" s="20"/>
      <c r="J263" s="21">
        <f>SUM(H263,I264:I265)</f>
        <v>0</v>
      </c>
      <c r="K263" s="82"/>
      <c r="L263" s="20">
        <f>ROUND(K263/18,2)</f>
        <v>0</v>
      </c>
      <c r="M263" s="20"/>
      <c r="N263" s="21">
        <f>SUM(L263,M264:M265)</f>
        <v>0</v>
      </c>
      <c r="O263" s="22">
        <f t="shared" si="587"/>
        <v>38.72</v>
      </c>
      <c r="P263" s="22">
        <f>ROUND(O263/36,2)</f>
        <v>1.08</v>
      </c>
      <c r="Q263" s="22"/>
      <c r="R263" s="23">
        <f>SUM(P263,Q264:Q265)</f>
        <v>1.08</v>
      </c>
    </row>
    <row r="264" spans="1:26" ht="18.75" customHeight="1" x14ac:dyDescent="0.35">
      <c r="A264" s="163"/>
      <c r="B264" s="145" t="s">
        <v>9</v>
      </c>
      <c r="C264" s="140"/>
      <c r="D264" s="20">
        <f t="shared" ref="D264:D265" si="596">ROUND(C264/12,2)</f>
        <v>0</v>
      </c>
      <c r="E264" s="20">
        <f t="shared" ref="E264:E265" si="597">D264*2</f>
        <v>0</v>
      </c>
      <c r="F264" s="21"/>
      <c r="G264" s="81"/>
      <c r="H264" s="20">
        <f t="shared" ref="H264:H265" si="598">ROUND(G264/12,2)</f>
        <v>0</v>
      </c>
      <c r="I264" s="20">
        <f t="shared" ref="I264:I265" si="599">H264*2</f>
        <v>0</v>
      </c>
      <c r="J264" s="21"/>
      <c r="K264" s="82"/>
      <c r="L264" s="20">
        <f t="shared" ref="L264:L265" si="600">ROUND(K264/12,2)</f>
        <v>0</v>
      </c>
      <c r="M264" s="20">
        <f t="shared" ref="M264:M265" si="601">L264*2</f>
        <v>0</v>
      </c>
      <c r="N264" s="21"/>
      <c r="O264" s="22">
        <f t="shared" si="587"/>
        <v>0</v>
      </c>
      <c r="P264" s="22">
        <f t="shared" ref="P264:P265" si="602">ROUND(O264/24,2)</f>
        <v>0</v>
      </c>
      <c r="Q264" s="22">
        <f t="shared" ref="Q264:Q265" si="603">P264*2</f>
        <v>0</v>
      </c>
      <c r="R264" s="23"/>
    </row>
    <row r="265" spans="1:26" ht="18.75" customHeight="1" thickBot="1" x14ac:dyDescent="0.4">
      <c r="A265" s="164"/>
      <c r="B265" s="146" t="s">
        <v>10</v>
      </c>
      <c r="C265" s="298"/>
      <c r="D265" s="24">
        <f t="shared" si="596"/>
        <v>0</v>
      </c>
      <c r="E265" s="24">
        <f t="shared" si="597"/>
        <v>0</v>
      </c>
      <c r="F265" s="25"/>
      <c r="G265" s="83"/>
      <c r="H265" s="24">
        <f t="shared" si="598"/>
        <v>0</v>
      </c>
      <c r="I265" s="24">
        <f t="shared" si="599"/>
        <v>0</v>
      </c>
      <c r="J265" s="25"/>
      <c r="K265" s="84"/>
      <c r="L265" s="24">
        <f t="shared" si="600"/>
        <v>0</v>
      </c>
      <c r="M265" s="24">
        <f t="shared" si="601"/>
        <v>0</v>
      </c>
      <c r="N265" s="25"/>
      <c r="O265" s="92">
        <f t="shared" si="587"/>
        <v>0</v>
      </c>
      <c r="P265" s="26">
        <f t="shared" si="602"/>
        <v>0</v>
      </c>
      <c r="Q265" s="26">
        <f t="shared" si="603"/>
        <v>0</v>
      </c>
      <c r="R265" s="27"/>
    </row>
    <row r="266" spans="1:26" ht="18.75" customHeight="1" x14ac:dyDescent="0.35">
      <c r="A266" s="148" t="s">
        <v>86</v>
      </c>
      <c r="B266" s="149"/>
      <c r="C266" s="268"/>
      <c r="D266" s="28"/>
      <c r="E266" s="28"/>
      <c r="F266" s="29"/>
      <c r="G266" s="79"/>
      <c r="H266" s="28"/>
      <c r="I266" s="28"/>
      <c r="J266" s="29"/>
      <c r="K266" s="80"/>
      <c r="L266" s="28"/>
      <c r="M266" s="28"/>
      <c r="N266" s="29"/>
      <c r="O266" s="66">
        <f t="shared" si="587"/>
        <v>0</v>
      </c>
      <c r="P266" s="30"/>
      <c r="Q266" s="30"/>
      <c r="R266" s="31"/>
      <c r="S266" s="65"/>
      <c r="T266" s="65"/>
      <c r="U266" s="65"/>
      <c r="V266" s="65"/>
      <c r="W266" s="65"/>
      <c r="X266" s="65"/>
      <c r="Y266" s="65"/>
      <c r="Z266" s="65"/>
    </row>
    <row r="267" spans="1:26" ht="18.75" customHeight="1" x14ac:dyDescent="0.35">
      <c r="A267" s="145" t="s">
        <v>7</v>
      </c>
      <c r="B267" s="145" t="s">
        <v>8</v>
      </c>
      <c r="C267" s="140"/>
      <c r="D267" s="20">
        <f>ROUND(C267/18,2)</f>
        <v>0</v>
      </c>
      <c r="E267" s="20"/>
      <c r="F267" s="21">
        <f>SUM(D267,E268:E269)</f>
        <v>0</v>
      </c>
      <c r="G267" s="81"/>
      <c r="H267" s="20">
        <f>ROUND(G267/18,2)</f>
        <v>0</v>
      </c>
      <c r="I267" s="20"/>
      <c r="J267" s="21">
        <f>SUM(H267,I268:I269)</f>
        <v>0</v>
      </c>
      <c r="K267" s="82"/>
      <c r="L267" s="20">
        <f>ROUND(K267/18,2)</f>
        <v>0</v>
      </c>
      <c r="M267" s="20"/>
      <c r="N267" s="21">
        <f>SUM(L267,M268:M269)</f>
        <v>0</v>
      </c>
      <c r="O267" s="22">
        <f t="shared" si="587"/>
        <v>0</v>
      </c>
      <c r="P267" s="22">
        <f>ROUND(O267/36,2)</f>
        <v>0</v>
      </c>
      <c r="Q267" s="22"/>
      <c r="R267" s="23">
        <f>SUM(P267,Q268:Q269)</f>
        <v>0</v>
      </c>
      <c r="S267" s="65"/>
      <c r="T267" s="65"/>
      <c r="U267" s="65"/>
      <c r="V267" s="65"/>
      <c r="W267" s="65"/>
      <c r="X267" s="65"/>
      <c r="Y267" s="65"/>
      <c r="Z267" s="65"/>
    </row>
    <row r="268" spans="1:26" ht="18.75" customHeight="1" x14ac:dyDescent="0.35">
      <c r="A268" s="163"/>
      <c r="B268" s="145" t="s">
        <v>9</v>
      </c>
      <c r="C268" s="140"/>
      <c r="D268" s="20">
        <f t="shared" ref="D268:D269" si="604">ROUND(C268/12,2)</f>
        <v>0</v>
      </c>
      <c r="E268" s="20">
        <f t="shared" ref="E268:E269" si="605">D268*2</f>
        <v>0</v>
      </c>
      <c r="F268" s="21"/>
      <c r="G268" s="81"/>
      <c r="H268" s="20">
        <f t="shared" ref="H268:H269" si="606">ROUND(G268/12,2)</f>
        <v>0</v>
      </c>
      <c r="I268" s="20">
        <f t="shared" ref="I268:I269" si="607">H268*2</f>
        <v>0</v>
      </c>
      <c r="J268" s="21"/>
      <c r="K268" s="82"/>
      <c r="L268" s="20">
        <f t="shared" ref="L268:L269" si="608">ROUND(K268/12,2)</f>
        <v>0</v>
      </c>
      <c r="M268" s="20">
        <f t="shared" ref="M268:M269" si="609">L268*2</f>
        <v>0</v>
      </c>
      <c r="N268" s="21"/>
      <c r="O268" s="22">
        <f t="shared" si="587"/>
        <v>0</v>
      </c>
      <c r="P268" s="22">
        <f t="shared" ref="P268:P269" si="610">ROUND(O268/24,2)</f>
        <v>0</v>
      </c>
      <c r="Q268" s="22">
        <f t="shared" ref="Q268:Q269" si="611">P268*2</f>
        <v>0</v>
      </c>
      <c r="R268" s="23"/>
      <c r="S268" s="65"/>
      <c r="T268" s="65"/>
      <c r="U268" s="65"/>
      <c r="V268" s="65"/>
      <c r="W268" s="65"/>
      <c r="X268" s="65"/>
      <c r="Y268" s="65"/>
      <c r="Z268" s="65"/>
    </row>
    <row r="269" spans="1:26" ht="18.75" customHeight="1" thickBot="1" x14ac:dyDescent="0.4">
      <c r="A269" s="164"/>
      <c r="B269" s="146" t="s">
        <v>10</v>
      </c>
      <c r="C269" s="298"/>
      <c r="D269" s="24">
        <f t="shared" si="604"/>
        <v>0</v>
      </c>
      <c r="E269" s="24">
        <f t="shared" si="605"/>
        <v>0</v>
      </c>
      <c r="F269" s="25"/>
      <c r="G269" s="83"/>
      <c r="H269" s="24">
        <f t="shared" si="606"/>
        <v>0</v>
      </c>
      <c r="I269" s="24">
        <f t="shared" si="607"/>
        <v>0</v>
      </c>
      <c r="J269" s="25"/>
      <c r="K269" s="84"/>
      <c r="L269" s="24">
        <f t="shared" si="608"/>
        <v>0</v>
      </c>
      <c r="M269" s="24">
        <f t="shared" si="609"/>
        <v>0</v>
      </c>
      <c r="N269" s="25"/>
      <c r="O269" s="92">
        <f t="shared" si="587"/>
        <v>0</v>
      </c>
      <c r="P269" s="26">
        <f t="shared" si="610"/>
        <v>0</v>
      </c>
      <c r="Q269" s="26">
        <f t="shared" si="611"/>
        <v>0</v>
      </c>
      <c r="R269" s="27"/>
    </row>
    <row r="270" spans="1:26" ht="18.75" customHeight="1" x14ac:dyDescent="0.35">
      <c r="A270" s="165" t="s">
        <v>87</v>
      </c>
      <c r="B270" s="155" t="s">
        <v>8</v>
      </c>
      <c r="C270" s="128">
        <f>SUMIF($B$258:$B$269,"ปริญญาตรี",C258:C269)</f>
        <v>38.72</v>
      </c>
      <c r="D270" s="44">
        <f t="shared" ref="D270" si="612">SUM(D259,D263,D267)</f>
        <v>2.15</v>
      </c>
      <c r="E270" s="44"/>
      <c r="F270" s="41">
        <f>ROUND(SUM(D270,E271:E272),2)</f>
        <v>2.15</v>
      </c>
      <c r="G270" s="128">
        <f>SUMIF($B$258:$B$269,"ปริญญาตรี",G258:G269)</f>
        <v>0</v>
      </c>
      <c r="H270" s="44">
        <f t="shared" ref="H270" si="613">SUM(H259,H263,H267)</f>
        <v>0</v>
      </c>
      <c r="I270" s="44"/>
      <c r="J270" s="41">
        <f>ROUND(SUM(H270,I271:I272),2)</f>
        <v>0</v>
      </c>
      <c r="K270" s="128">
        <f>SUMIF($B$258:$B$269,"ปริญญาตรี",K258:K269)</f>
        <v>0</v>
      </c>
      <c r="L270" s="44">
        <f t="shared" ref="L270" si="614">SUM(L259,L263,L267)</f>
        <v>0</v>
      </c>
      <c r="M270" s="44"/>
      <c r="N270" s="41">
        <f>ROUND(SUM(L270,M271:M272),2)</f>
        <v>0</v>
      </c>
      <c r="O270" s="128">
        <f>SUMIF($B$258:$B$269,"ปริญญาตรี",O258:O269)</f>
        <v>38.72</v>
      </c>
      <c r="P270" s="44">
        <f t="shared" ref="P270" si="615">SUM(P259,P263,P267)</f>
        <v>1.08</v>
      </c>
      <c r="Q270" s="44"/>
      <c r="R270" s="41">
        <f>ROUND(SUM(P270,Q271:Q272),2)</f>
        <v>1.08</v>
      </c>
    </row>
    <row r="271" spans="1:26" ht="18.75" customHeight="1" x14ac:dyDescent="0.35">
      <c r="A271" s="166" t="s">
        <v>87</v>
      </c>
      <c r="B271" s="155" t="s">
        <v>9</v>
      </c>
      <c r="C271" s="130">
        <f>SUMIF($B$258:$B$269,"ปริญญาโท",C258:C269)</f>
        <v>0</v>
      </c>
      <c r="D271" s="44">
        <f>SUMIF($B$258:$B$269,"ปริญญาโท",D258:D269)</f>
        <v>0</v>
      </c>
      <c r="E271" s="44">
        <f>SUMIF($B$258:$B$269,"ปริญญาโท",E258:E269)</f>
        <v>0</v>
      </c>
      <c r="F271" s="45"/>
      <c r="G271" s="130">
        <f>SUMIF($B$258:$B$269,"ปริญญาโท",G258:G269)</f>
        <v>0</v>
      </c>
      <c r="H271" s="44">
        <f>SUMIF($B$258:$B$269,"ปริญญาโท",H258:H269)</f>
        <v>0</v>
      </c>
      <c r="I271" s="44">
        <f>SUMIF($B$258:$B$269,"ปริญญาโท",I258:I269)</f>
        <v>0</v>
      </c>
      <c r="J271" s="45"/>
      <c r="K271" s="130">
        <f>SUMIF($B$258:$B$269,"ปริญญาโท",K258:K269)</f>
        <v>0</v>
      </c>
      <c r="L271" s="44">
        <f>SUMIF($B$258:$B$269,"ปริญญาโท",L258:L269)</f>
        <v>0</v>
      </c>
      <c r="M271" s="44">
        <f>SUMIF($B$258:$B$269,"ปริญญาโท",M258:M269)</f>
        <v>0</v>
      </c>
      <c r="N271" s="45"/>
      <c r="O271" s="130">
        <f>SUMIF($B$258:$B$269,"ปริญญาโท",O258:O269)</f>
        <v>0</v>
      </c>
      <c r="P271" s="44">
        <f>SUMIF($B$258:$B$269,"ปริญญาโท",P258:P269)</f>
        <v>0</v>
      </c>
      <c r="Q271" s="44">
        <f>SUMIF($B$258:$B$269,"ปริญญาโท",Q258:Q269)</f>
        <v>0</v>
      </c>
      <c r="R271" s="45"/>
    </row>
    <row r="272" spans="1:26" ht="18.75" customHeight="1" thickBot="1" x14ac:dyDescent="0.4">
      <c r="A272" s="167" t="s">
        <v>87</v>
      </c>
      <c r="B272" s="156" t="s">
        <v>10</v>
      </c>
      <c r="C272" s="131">
        <f>SUMIF($B$258:$B$269,"ปริญญาเอก",C258:C269)</f>
        <v>0</v>
      </c>
      <c r="D272" s="54">
        <f>SUMIF($B$258:$B$269,"ปริญญาเอก",D258:D269)</f>
        <v>0</v>
      </c>
      <c r="E272" s="54">
        <f>SUMIF($B$258:$B$269,"ปริญญาเอก",E258:E269)</f>
        <v>0</v>
      </c>
      <c r="F272" s="48"/>
      <c r="G272" s="131">
        <f>SUMIF($B$258:$B$269,"ปริญญาเอก",G258:G269)</f>
        <v>0</v>
      </c>
      <c r="H272" s="54">
        <f>SUMIF($B$258:$B$269,"ปริญญาเอก",H258:H269)</f>
        <v>0</v>
      </c>
      <c r="I272" s="54">
        <f>SUMIF($B$258:$B$269,"ปริญญาเอก",I258:I269)</f>
        <v>0</v>
      </c>
      <c r="J272" s="48"/>
      <c r="K272" s="131">
        <f>SUMIF($B$258:$B$269,"ปริญญาเอก",K258:K269)</f>
        <v>0</v>
      </c>
      <c r="L272" s="54">
        <f>SUMIF($B$258:$B$269,"ปริญญาเอก",L258:L269)</f>
        <v>0</v>
      </c>
      <c r="M272" s="54">
        <f>SUMIF($B$258:$B$269,"ปริญญาเอก",M258:M269)</f>
        <v>0</v>
      </c>
      <c r="N272" s="48"/>
      <c r="O272" s="131">
        <f>SUMIF($B$258:$B$269,"ปริญญาเอก",O258:O269)</f>
        <v>0</v>
      </c>
      <c r="P272" s="54">
        <f>SUMIF($B$258:$B$269,"ปริญญาเอก",P258:P269)</f>
        <v>0</v>
      </c>
      <c r="Q272" s="54">
        <f>SUMIF($B$258:$B$269,"ปริญญาเอก",Q258:Q269)</f>
        <v>0</v>
      </c>
      <c r="R272" s="48"/>
    </row>
    <row r="273" spans="1:26" ht="18.75" customHeight="1" x14ac:dyDescent="0.35">
      <c r="A273" s="72"/>
      <c r="B273" s="55"/>
      <c r="C273" s="143"/>
      <c r="D273" s="55"/>
      <c r="E273" s="55"/>
      <c r="F273" s="55"/>
      <c r="G273" s="143"/>
      <c r="H273" s="55"/>
      <c r="I273" s="55"/>
      <c r="J273" s="55"/>
      <c r="K273" s="143"/>
      <c r="L273" s="55"/>
      <c r="M273" s="55"/>
      <c r="N273" s="55"/>
      <c r="O273" s="143"/>
      <c r="P273" s="55"/>
      <c r="Q273" s="55"/>
      <c r="R273" s="55"/>
    </row>
    <row r="274" spans="1:26" ht="18.75" customHeight="1" x14ac:dyDescent="0.35">
      <c r="A274" s="162" t="s">
        <v>88</v>
      </c>
      <c r="B274" s="157"/>
      <c r="C274" s="142"/>
      <c r="D274" s="52"/>
      <c r="E274" s="52"/>
      <c r="F274" s="52"/>
      <c r="G274" s="52"/>
      <c r="H274" s="52"/>
      <c r="I274" s="52"/>
      <c r="J274" s="52"/>
      <c r="K274" s="142"/>
      <c r="L274" s="52"/>
      <c r="M274" s="52"/>
      <c r="N274" s="52"/>
      <c r="O274" s="53"/>
      <c r="P274" s="52"/>
      <c r="Q274" s="52"/>
      <c r="R274" s="53"/>
    </row>
    <row r="275" spans="1:26" ht="18.75" customHeight="1" x14ac:dyDescent="0.35">
      <c r="A275" s="144" t="s">
        <v>89</v>
      </c>
      <c r="B275" s="158"/>
      <c r="C275" s="82"/>
      <c r="D275" s="20"/>
      <c r="E275" s="20"/>
      <c r="F275" s="21"/>
      <c r="G275" s="81"/>
      <c r="H275" s="20"/>
      <c r="I275" s="20"/>
      <c r="J275" s="21"/>
      <c r="K275" s="82"/>
      <c r="L275" s="20"/>
      <c r="M275" s="20"/>
      <c r="N275" s="21"/>
      <c r="O275" s="34"/>
      <c r="P275" s="22"/>
      <c r="Q275" s="22"/>
      <c r="R275" s="23"/>
    </row>
    <row r="276" spans="1:26" ht="18.75" customHeight="1" x14ac:dyDescent="0.35">
      <c r="A276" s="145" t="s">
        <v>7</v>
      </c>
      <c r="B276" s="145" t="s">
        <v>8</v>
      </c>
      <c r="C276" s="140">
        <v>571.17999999999995</v>
      </c>
      <c r="D276" s="20">
        <f>ROUND(C276/18,2)</f>
        <v>31.73</v>
      </c>
      <c r="E276" s="20"/>
      <c r="F276" s="21">
        <f>SUM(D276,E277:E278)</f>
        <v>31.73</v>
      </c>
      <c r="G276" s="81">
        <v>542</v>
      </c>
      <c r="H276" s="20">
        <f>ROUND(G276/18,2)</f>
        <v>30.11</v>
      </c>
      <c r="I276" s="20"/>
      <c r="J276" s="21">
        <f>SUM(H276,I277:I278)</f>
        <v>30.11</v>
      </c>
      <c r="K276" s="82"/>
      <c r="L276" s="20">
        <f>ROUND(K276/18,2)</f>
        <v>0</v>
      </c>
      <c r="M276" s="20"/>
      <c r="N276" s="21">
        <f>SUM(L276,M277:M278)</f>
        <v>0</v>
      </c>
      <c r="O276" s="22">
        <f t="shared" ref="O276:O282" si="616">SUMIF($C$3:$N$3,"SCH",C276:N276)</f>
        <v>1113.1799999999998</v>
      </c>
      <c r="P276" s="22">
        <f>ROUND(O276/36,2)</f>
        <v>30.92</v>
      </c>
      <c r="Q276" s="22"/>
      <c r="R276" s="23">
        <f>SUM(P276,Q277:Q278)</f>
        <v>30.92</v>
      </c>
    </row>
    <row r="277" spans="1:26" ht="18.75" customHeight="1" x14ac:dyDescent="0.35">
      <c r="A277" s="163"/>
      <c r="B277" s="145" t="s">
        <v>9</v>
      </c>
      <c r="C277" s="140"/>
      <c r="D277" s="20">
        <f t="shared" ref="D277:D278" si="617">ROUND(C277/12,2)</f>
        <v>0</v>
      </c>
      <c r="E277" s="20">
        <f t="shared" ref="E277:E278" si="618">D277*2</f>
        <v>0</v>
      </c>
      <c r="F277" s="21"/>
      <c r="G277" s="81"/>
      <c r="H277" s="20">
        <f t="shared" ref="H277:H278" si="619">ROUND(G277/12,2)</f>
        <v>0</v>
      </c>
      <c r="I277" s="20">
        <f t="shared" ref="I277:I278" si="620">H277*2</f>
        <v>0</v>
      </c>
      <c r="J277" s="21"/>
      <c r="K277" s="82"/>
      <c r="L277" s="20">
        <f t="shared" ref="L277:L278" si="621">ROUND(K277/12,2)</f>
        <v>0</v>
      </c>
      <c r="M277" s="20">
        <f t="shared" ref="M277:M278" si="622">L277*2</f>
        <v>0</v>
      </c>
      <c r="N277" s="21"/>
      <c r="O277" s="22">
        <f t="shared" si="616"/>
        <v>0</v>
      </c>
      <c r="P277" s="22">
        <f t="shared" ref="P277:P278" si="623">ROUND(O277/24,2)</f>
        <v>0</v>
      </c>
      <c r="Q277" s="22">
        <f t="shared" ref="Q277:Q278" si="624">P277*2</f>
        <v>0</v>
      </c>
      <c r="R277" s="23"/>
    </row>
    <row r="278" spans="1:26" ht="18.75" customHeight="1" thickBot="1" x14ac:dyDescent="0.4">
      <c r="A278" s="164"/>
      <c r="B278" s="146" t="s">
        <v>10</v>
      </c>
      <c r="C278" s="298"/>
      <c r="D278" s="24">
        <f t="shared" si="617"/>
        <v>0</v>
      </c>
      <c r="E278" s="24">
        <f t="shared" si="618"/>
        <v>0</v>
      </c>
      <c r="F278" s="25"/>
      <c r="G278" s="83"/>
      <c r="H278" s="24">
        <f t="shared" si="619"/>
        <v>0</v>
      </c>
      <c r="I278" s="24">
        <f t="shared" si="620"/>
        <v>0</v>
      </c>
      <c r="J278" s="25"/>
      <c r="K278" s="84"/>
      <c r="L278" s="24">
        <f t="shared" si="621"/>
        <v>0</v>
      </c>
      <c r="M278" s="24">
        <f t="shared" si="622"/>
        <v>0</v>
      </c>
      <c r="N278" s="25"/>
      <c r="O278" s="92">
        <f t="shared" si="616"/>
        <v>0</v>
      </c>
      <c r="P278" s="26">
        <f t="shared" si="623"/>
        <v>0</v>
      </c>
      <c r="Q278" s="26">
        <f t="shared" si="624"/>
        <v>0</v>
      </c>
      <c r="R278" s="27"/>
    </row>
    <row r="279" spans="1:26" ht="18.75" customHeight="1" x14ac:dyDescent="0.35">
      <c r="A279" s="148" t="s">
        <v>90</v>
      </c>
      <c r="B279" s="153"/>
      <c r="C279" s="268"/>
      <c r="D279" s="28"/>
      <c r="E279" s="28"/>
      <c r="F279" s="29"/>
      <c r="G279" s="79"/>
      <c r="H279" s="28"/>
      <c r="I279" s="28"/>
      <c r="J279" s="29"/>
      <c r="K279" s="80"/>
      <c r="L279" s="28"/>
      <c r="M279" s="28"/>
      <c r="N279" s="29"/>
      <c r="O279" s="30">
        <f t="shared" si="616"/>
        <v>0</v>
      </c>
      <c r="P279" s="30"/>
      <c r="Q279" s="30"/>
      <c r="R279" s="31"/>
      <c r="S279" s="65"/>
      <c r="T279" s="65"/>
      <c r="U279" s="65"/>
      <c r="V279" s="65"/>
      <c r="W279" s="65"/>
      <c r="X279" s="65"/>
      <c r="Y279" s="65"/>
      <c r="Z279" s="65"/>
    </row>
    <row r="280" spans="1:26" ht="18.75" customHeight="1" x14ac:dyDescent="0.35">
      <c r="A280" s="145" t="s">
        <v>7</v>
      </c>
      <c r="B280" s="145" t="s">
        <v>8</v>
      </c>
      <c r="C280" s="140"/>
      <c r="D280" s="20"/>
      <c r="E280" s="20"/>
      <c r="F280" s="21">
        <f>SUM(D280,E281:E282)</f>
        <v>0</v>
      </c>
      <c r="G280" s="81"/>
      <c r="H280" s="20">
        <f>ROUND(G280/18,2)</f>
        <v>0</v>
      </c>
      <c r="I280" s="20"/>
      <c r="J280" s="21">
        <f>SUM(H280,I281:I282)</f>
        <v>0</v>
      </c>
      <c r="K280" s="82"/>
      <c r="L280" s="20">
        <f>ROUND(K280/18,2)</f>
        <v>0</v>
      </c>
      <c r="M280" s="20"/>
      <c r="N280" s="21">
        <f>SUM(L280,M281:M282)</f>
        <v>0</v>
      </c>
      <c r="O280" s="22">
        <f t="shared" si="616"/>
        <v>0</v>
      </c>
      <c r="P280" s="22">
        <f>ROUND(O280/36,2)</f>
        <v>0</v>
      </c>
      <c r="Q280" s="22"/>
      <c r="R280" s="23">
        <f>SUM(P280,Q281:Q282)</f>
        <v>0</v>
      </c>
      <c r="S280" s="65"/>
      <c r="T280" s="65"/>
      <c r="U280" s="65"/>
      <c r="V280" s="65"/>
      <c r="W280" s="65"/>
      <c r="X280" s="65"/>
      <c r="Y280" s="65"/>
      <c r="Z280" s="65"/>
    </row>
    <row r="281" spans="1:26" ht="18.75" customHeight="1" x14ac:dyDescent="0.35">
      <c r="A281" s="145"/>
      <c r="B281" s="145" t="s">
        <v>9</v>
      </c>
      <c r="C281" s="140"/>
      <c r="D281" s="20">
        <f t="shared" ref="D281:D282" si="625">ROUND(C281/12,2)</f>
        <v>0</v>
      </c>
      <c r="E281" s="20"/>
      <c r="F281" s="21"/>
      <c r="G281" s="81"/>
      <c r="H281" s="20">
        <f t="shared" ref="H281:H282" si="626">ROUND(G281/12,2)</f>
        <v>0</v>
      </c>
      <c r="I281" s="20">
        <f t="shared" ref="I281:I282" si="627">H281*2</f>
        <v>0</v>
      </c>
      <c r="J281" s="21"/>
      <c r="K281" s="82"/>
      <c r="L281" s="20">
        <f t="shared" ref="L281:L282" si="628">ROUND(K281/12,2)</f>
        <v>0</v>
      </c>
      <c r="M281" s="20">
        <f t="shared" ref="M281:M282" si="629">L281*2</f>
        <v>0</v>
      </c>
      <c r="N281" s="21"/>
      <c r="O281" s="22">
        <f t="shared" si="616"/>
        <v>0</v>
      </c>
      <c r="P281" s="22">
        <f t="shared" ref="P281:P282" si="630">ROUND(O281/24,2)</f>
        <v>0</v>
      </c>
      <c r="Q281" s="22">
        <f t="shared" ref="Q281:Q282" si="631">P281*2</f>
        <v>0</v>
      </c>
      <c r="R281" s="23"/>
      <c r="S281" s="65"/>
      <c r="T281" s="65"/>
      <c r="U281" s="65"/>
      <c r="V281" s="65"/>
      <c r="W281" s="65"/>
      <c r="X281" s="65"/>
      <c r="Y281" s="65"/>
      <c r="Z281" s="65"/>
    </row>
    <row r="282" spans="1:26" ht="18.75" customHeight="1" thickBot="1" x14ac:dyDescent="0.4">
      <c r="A282" s="146"/>
      <c r="B282" s="146" t="s">
        <v>10</v>
      </c>
      <c r="C282" s="298"/>
      <c r="D282" s="24">
        <f t="shared" si="625"/>
        <v>0</v>
      </c>
      <c r="E282" s="24"/>
      <c r="F282" s="25"/>
      <c r="G282" s="83"/>
      <c r="H282" s="24">
        <f t="shared" si="626"/>
        <v>0</v>
      </c>
      <c r="I282" s="24">
        <f t="shared" si="627"/>
        <v>0</v>
      </c>
      <c r="J282" s="25"/>
      <c r="K282" s="84"/>
      <c r="L282" s="24">
        <f t="shared" si="628"/>
        <v>0</v>
      </c>
      <c r="M282" s="24">
        <f t="shared" si="629"/>
        <v>0</v>
      </c>
      <c r="N282" s="25"/>
      <c r="O282" s="92">
        <f t="shared" si="616"/>
        <v>0</v>
      </c>
      <c r="P282" s="26">
        <f t="shared" si="630"/>
        <v>0</v>
      </c>
      <c r="Q282" s="26">
        <f t="shared" si="631"/>
        <v>0</v>
      </c>
      <c r="R282" s="27"/>
      <c r="S282" s="65"/>
      <c r="T282" s="65"/>
      <c r="U282" s="65"/>
      <c r="V282" s="65"/>
      <c r="W282" s="65"/>
      <c r="X282" s="65"/>
      <c r="Y282" s="65"/>
      <c r="Z282" s="65"/>
    </row>
    <row r="283" spans="1:26" ht="18.75" customHeight="1" x14ac:dyDescent="0.35">
      <c r="A283" s="165" t="s">
        <v>91</v>
      </c>
      <c r="B283" s="155" t="s">
        <v>8</v>
      </c>
      <c r="C283" s="130">
        <f>SUMIF($B$275:$B$282,"ปริญญาตรี",C275:C282)</f>
        <v>571.17999999999995</v>
      </c>
      <c r="D283" s="44">
        <f>SUMIF($B$275:$B$282,"ปริญญาตรี",D275:D282)</f>
        <v>31.73</v>
      </c>
      <c r="E283" s="44"/>
      <c r="F283" s="41">
        <f>ROUND(SUM(D283,E284:E285),2)</f>
        <v>31.73</v>
      </c>
      <c r="G283" s="130">
        <f>SUMIF($B$275:$B$282,"ปริญญาตรี",G275:G282)</f>
        <v>542</v>
      </c>
      <c r="H283" s="44">
        <f>SUMIF($B$275:$B$282,"ปริญญาตรี",H275:H282)</f>
        <v>30.11</v>
      </c>
      <c r="I283" s="44"/>
      <c r="J283" s="41">
        <f>ROUND(SUM(H283,I284:I285),2)</f>
        <v>30.11</v>
      </c>
      <c r="K283" s="130">
        <f>SUMIF($B$275:$B$282,"ปริญญาตรี",K275:K282)</f>
        <v>0</v>
      </c>
      <c r="L283" s="44">
        <f>SUMIF($B$275:$B$282,"ปริญญาตรี",L275:L282)</f>
        <v>0</v>
      </c>
      <c r="M283" s="44"/>
      <c r="N283" s="41">
        <f>ROUND(SUM(L283,M284:M285),2)</f>
        <v>0</v>
      </c>
      <c r="O283" s="130">
        <f>SUMIF($B$275:$B$282,"ปริญญาตรี",O275:O282)</f>
        <v>1113.1799999999998</v>
      </c>
      <c r="P283" s="44">
        <f>SUMIF($B$275:$B$282,"ปริญญาตรี",P275:P282)</f>
        <v>30.92</v>
      </c>
      <c r="Q283" s="44"/>
      <c r="R283" s="41">
        <f>ROUND(SUM(P283,Q284:Q285),2)</f>
        <v>30.92</v>
      </c>
      <c r="S283" s="65"/>
      <c r="T283" s="65"/>
      <c r="U283" s="65"/>
      <c r="V283" s="65"/>
      <c r="W283" s="65"/>
      <c r="X283" s="65"/>
      <c r="Y283" s="65"/>
      <c r="Z283" s="65"/>
    </row>
    <row r="284" spans="1:26" ht="18.75" customHeight="1" x14ac:dyDescent="0.35">
      <c r="A284" s="166" t="s">
        <v>91</v>
      </c>
      <c r="B284" s="155" t="s">
        <v>9</v>
      </c>
      <c r="C284" s="42">
        <f>SUMIF($B$275:$B$282,"ปริญญาโท",C275:C282)</f>
        <v>0</v>
      </c>
      <c r="D284" s="46">
        <f>SUMIF($B$275:$B$282,"ปริญญาโท",D275:D282)</f>
        <v>0</v>
      </c>
      <c r="E284" s="40">
        <f>SUMIF($B$275:$B$282,"ปริญญาโท",E275:E282)</f>
        <v>0</v>
      </c>
      <c r="F284" s="45"/>
      <c r="G284" s="42">
        <f>SUMIF($B$275:$B$282,"ปริญญาโท",G275:G282)</f>
        <v>0</v>
      </c>
      <c r="H284" s="46">
        <f>SUMIF($B$275:$B$282,"ปริญญาโท",H275:H282)</f>
        <v>0</v>
      </c>
      <c r="I284" s="40">
        <f>SUMIF($B$275:$B$282,"ปริญญาโท",I275:I282)</f>
        <v>0</v>
      </c>
      <c r="J284" s="45"/>
      <c r="K284" s="42">
        <f>SUMIF($B$275:$B$282,"ปริญญาโท",K275:K282)</f>
        <v>0</v>
      </c>
      <c r="L284" s="46">
        <f>SUMIF($B$275:$B$282,"ปริญญาโท",L275:L282)</f>
        <v>0</v>
      </c>
      <c r="M284" s="40">
        <f>SUMIF($B$275:$B$282,"ปริญญาโท",M275:M282)</f>
        <v>0</v>
      </c>
      <c r="N284" s="45"/>
      <c r="O284" s="42">
        <f>SUMIF($B$275:$B$282,"ปริญญาโท",O275:O282)</f>
        <v>0</v>
      </c>
      <c r="P284" s="46">
        <f>SUMIF($B$275:$B$282,"ปริญญาโท",P275:P282)</f>
        <v>0</v>
      </c>
      <c r="Q284" s="40">
        <f>SUMIF($B$275:$B$282,"ปริญญาโท",Q275:Q282)</f>
        <v>0</v>
      </c>
      <c r="R284" s="45"/>
      <c r="S284" s="65"/>
      <c r="T284" s="65"/>
      <c r="U284" s="65"/>
      <c r="V284" s="65"/>
      <c r="W284" s="65"/>
      <c r="X284" s="65"/>
      <c r="Y284" s="65"/>
      <c r="Z284" s="65"/>
    </row>
    <row r="285" spans="1:26" ht="18.75" customHeight="1" thickBot="1" x14ac:dyDescent="0.4">
      <c r="A285" s="167" t="s">
        <v>91</v>
      </c>
      <c r="B285" s="156" t="s">
        <v>10</v>
      </c>
      <c r="C285" s="49">
        <f>SUMIF($B$275:$B$282,"ปริญญาเอก",C275:C282)</f>
        <v>0</v>
      </c>
      <c r="D285" s="50">
        <f>SUMIF($B$275:$B$282,"ปริญญาเอก",D275:D282)</f>
        <v>0</v>
      </c>
      <c r="E285" s="47">
        <f>SUMIF($B$275:$B$282,"ปริญญาเอก",E275:E282)</f>
        <v>0</v>
      </c>
      <c r="F285" s="48"/>
      <c r="G285" s="49">
        <f>SUMIF($B$275:$B$282,"ปริญญาเอก",G275:G282)</f>
        <v>0</v>
      </c>
      <c r="H285" s="50">
        <f>SUMIF($B$275:$B$282,"ปริญญาเอก",H275:H282)</f>
        <v>0</v>
      </c>
      <c r="I285" s="47">
        <f>SUMIF($B$275:$B$282,"ปริญญาเอก",I275:I282)</f>
        <v>0</v>
      </c>
      <c r="J285" s="48"/>
      <c r="K285" s="49">
        <f>SUMIF($B$275:$B$282,"ปริญญาเอก",K275:K282)</f>
        <v>0</v>
      </c>
      <c r="L285" s="50">
        <f>SUMIF($B$275:$B$282,"ปริญญาเอก",L275:L282)</f>
        <v>0</v>
      </c>
      <c r="M285" s="47">
        <f>SUMIF($B$275:$B$282,"ปริญญาเอก",M275:M282)</f>
        <v>0</v>
      </c>
      <c r="N285" s="48"/>
      <c r="O285" s="49">
        <f>SUMIF($B$275:$B$282,"ปริญญาเอก",O275:O282)</f>
        <v>0</v>
      </c>
      <c r="P285" s="50">
        <f>SUMIF($B$275:$B$282,"ปริญญาเอก",P275:P282)</f>
        <v>0</v>
      </c>
      <c r="Q285" s="47">
        <f>SUMIF($B$275:$B$282,"ปริญญาเอก",Q275:Q282)</f>
        <v>0</v>
      </c>
      <c r="R285" s="48"/>
      <c r="S285" s="65"/>
      <c r="T285" s="65"/>
      <c r="U285" s="65"/>
      <c r="V285" s="65"/>
      <c r="W285" s="65"/>
      <c r="X285" s="65"/>
      <c r="Y285" s="65"/>
      <c r="Z285" s="65"/>
    </row>
    <row r="286" spans="1:26" ht="18.75" customHeight="1" x14ac:dyDescent="0.35">
      <c r="A286" s="168" t="s">
        <v>92</v>
      </c>
      <c r="B286" s="159" t="s">
        <v>8</v>
      </c>
      <c r="C286" s="132">
        <f>SUM(SUMIFS(C4:C285,$B$4:$B$285,"ปริญญาตรี",$A$4:$A$285,"รวมทั้งวิทยาเขตสระแก้ว"),
     SUMIFS(C4:C285,$B$4:$B$285,"ปริญญาตรี",$A$4:$A$285,"รวมทั้งวิทยาเขตจันทบุรี"),
     SUMIFS(C4:C285,$B$4:$B$285,"ปริญญาตรี",$A$4:$A$285,"รวมทั้งวิทยาเขตบางแสน"))</f>
        <v>45381</v>
      </c>
      <c r="D286" s="56">
        <f>SUM(SUMIFS(D4:D285,$B$4:$B$285,"ปริญญาตรี",$A$4:$A$285,"รวมทั้งวิทยาเขตสระแก้ว"),
     SUMIFS(D4:D285,$B$4:$B$285,"ปริญญาตรี",$A$4:$A$285,"รวมทั้งวิทยาเขตจันทบุรี"),
     SUMIFS(D4:D285,$B$4:$B$285,"ปริญญาตรี",$A$4:$A$285,"รวมทั้งวิทยาเขตบางแสน"))</f>
        <v>2521.1700000000005</v>
      </c>
      <c r="E286" s="56"/>
      <c r="F286" s="57">
        <f>ROUND(SUM(D286,E287:E289),2)</f>
        <v>3199.05</v>
      </c>
      <c r="G286" s="132">
        <f>SUM(SUMIFS(G4:G285,$B$4:$B$285,"ปริญญาตรี",$A$4:$A$285,"รวมทั้งวิทยาเขตสระแก้ว"),
     SUMIFS(G4:G285,$B$4:$B$285,"ปริญญาตรี",$A$4:$A$285,"รวมทั้งวิทยาเขตจันทบุรี"),
     SUMIFS(G4:G285,$B$4:$B$285,"ปริญญาตรี",$A$4:$A$285,"รวมทั้งวิทยาเขตบางแสน"))</f>
        <v>55137</v>
      </c>
      <c r="H286" s="56">
        <f>SUM(SUMIFS(H4:H285,$B$4:$B$285,"ปริญญาตรี",$A$4:$A$285,"รวมทั้งวิทยาเขตสระแก้ว"),
     SUMIFS(H4:H285,$B$4:$B$285,"ปริญญาตรี",$A$4:$A$285,"รวมทั้งวิทยาเขตจันทบุรี"),
     SUMIFS(H4:H285,$B$4:$B$285,"ปริญญาตรี",$A$4:$A$285,"รวมทั้งวิทยาเขตบางแสน"))</f>
        <v>3063.14</v>
      </c>
      <c r="I286" s="56"/>
      <c r="J286" s="57">
        <f>ROUND(SUM(H286,I287:I289),2)</f>
        <v>4101.4799999999996</v>
      </c>
      <c r="K286" s="132">
        <f>SUM(SUMIFS(K4:K285,$B$4:$B$285,"ปริญญาตรี",$A$4:$A$285,"รวมทั้งวิทยาเขตสระแก้ว"),
     SUMIFS(K4:K285,$B$4:$B$285,"ปริญญาตรี",$A$4:$A$285,"รวมทั้งวิทยาเขตจันทบุรี"),
     SUMIFS(K4:K285,$B$4:$B$285,"ปริญญาตรี",$A$4:$A$285,"รวมทั้งวิทยาเขตบางแสน"))</f>
        <v>8014</v>
      </c>
      <c r="L286" s="56">
        <f>SUM(SUMIFS(L4:L285,$B$4:$B$285,"ปริญญาตรี",$A$4:$A$285,"รวมทั้งวิทยาเขตสระแก้ว"),
     SUMIFS(L4:L285,$B$4:$B$285,"ปริญญาตรี",$A$4:$A$285,"รวมทั้งวิทยาเขตจันทบุรี"),
     SUMIFS(L4:L285,$B$4:$B$285,"ปริญญาตรี",$A$4:$A$285,"รวมทั้งวิทยาเขตบางแสน"))</f>
        <v>445.23</v>
      </c>
      <c r="M286" s="56"/>
      <c r="N286" s="57">
        <f>ROUND(SUM(L286,M287:M289),2)</f>
        <v>676.37</v>
      </c>
      <c r="O286" s="132">
        <f>SUM(SUMIFS(O4:O285,$B$4:$B$285,"ปริญญาตรี",$A$4:$A$285,"รวมทั้งวิทยาเขตสระแก้ว"),
     SUMIFS(O4:O285,$B$4:$B$285,"ปริญญาตรี",$A$4:$A$285,"รวมทั้งวิทยาเขตจันทบุรี"),
     SUMIFS(O4:O285,$B$4:$B$285,"ปริญญาตรี",$A$4:$A$285,"รวมทั้งวิทยาเขตบางแสน"))</f>
        <v>108532.00000000001</v>
      </c>
      <c r="P286" s="56">
        <f>SUM(SUMIFS(P4:P285,$B$4:$B$285,"ปริญญาตรี",$A$4:$A$285,"รวมทั้งวิทยาเขตสระแก้ว"),
     SUMIFS(P4:P285,$B$4:$B$285,"ปริญญาตรี",$A$4:$A$285,"รวมทั้งวิทยาเขตจันทบุรี"),
     SUMIFS(P4:P285,$B$4:$B$285,"ปริญญาตรี",$A$4:$A$285,"รวมทั้งวิทยาเขตบางแสน"))</f>
        <v>3014.77</v>
      </c>
      <c r="Q286" s="56"/>
      <c r="R286" s="57">
        <f>ROUND(SUM(P286,Q287:Q289),2)</f>
        <v>3988.54</v>
      </c>
    </row>
    <row r="287" spans="1:26" ht="18.75" customHeight="1" x14ac:dyDescent="0.35">
      <c r="A287" s="169" t="s">
        <v>92</v>
      </c>
      <c r="B287" s="160" t="s">
        <v>64</v>
      </c>
      <c r="C287" s="133">
        <f>SUM(SUMIFS(C4:C285,$B$4:$B$285,"ป.บัณฑิต",$A$4:$A$285,"รวมทั้งวิทยาเขตสระแก้ว"),
     SUMIFS(C4:C285,$B$4:$B$285,"ป.บัณฑิต",$A$4:$A$285,"รวมทั้งวิทยาเขตจันทบุรี"),
     SUMIFS(C4:C285,$B$4:$B$285,"ป.บัณฑิต",$A$4:$A$285,"รวมทั้งวิทยาเขตบางแสน"))</f>
        <v>0</v>
      </c>
      <c r="D287" s="56">
        <f>SUM(SUMIFS(D4:D285,$B$4:$B$285,"ป.บัณฑิต",$A$4:$A$285,"รวมทั้งวิทยาเขตสระแก้ว"),
     SUMIFS(D4:D285,$B$4:$B$285,"ป.บัณฑิต",$A$4:$A$285,"รวมทั้งวิทยาเขตจันทบุรี"),
     SUMIFS(D4:D285,$B$4:$B$285,"ป.บัณฑิต",$A$4:$A$285,"รวมทั้งวิทยาเขตบางแสน"))</f>
        <v>0</v>
      </c>
      <c r="E287" s="56">
        <f>SUM(SUMIFS(E4:E285,$B$4:$B$285,"ป.บัณฑิต",$A$4:$A$285,"รวมทั้งวิทยาเขตสระแก้ว"),
     SUMIFS(E4:E285,$B$4:$B$285,"ป.บัณฑิต",$A$4:$A$285,"รวมทั้งวิทยาเขตจันทบุรี"),
     SUMIFS(E4:E285,$B$4:$B$285,"ป.บัณฑิต",$A$4:$A$285,"รวมทั้งวิทยาเขตบางแสน"))</f>
        <v>0</v>
      </c>
      <c r="F287" s="59"/>
      <c r="G287" s="133">
        <f>SUM(SUMIFS(G4:G285,$B$4:$B$285,"ป.บัณฑิต",$A$4:$A$285,"รวมทั้งวิทยาเขตสระแก้ว"),
     SUMIFS(G4:G285,$B$4:$B$285,"ป.บัณฑิต",$A$4:$A$285,"รวมทั้งวิทยาเขตจันทบุรี"),
     SUMIFS(G4:G285,$B$4:$B$285,"ป.บัณฑิต",$A$4:$A$285,"รวมทั้งวิทยาเขตบางแสน"))</f>
        <v>672</v>
      </c>
      <c r="H287" s="56">
        <f>SUM(SUMIFS(H4:H285,$B$4:$B$285,"ป.บัณฑิต",$A$4:$A$285,"รวมทั้งวิทยาเขตสระแก้ว"),
     SUMIFS(H4:H285,$B$4:$B$285,"ป.บัณฑิต",$A$4:$A$285,"รวมทั้งวิทยาเขตจันทบุรี"),
     SUMIFS(H4:H285,$B$4:$B$285,"ป.บัณฑิต",$A$4:$A$285,"รวมทั้งวิทยาเขตบางแสน"))</f>
        <v>56</v>
      </c>
      <c r="I287" s="56">
        <f>SUM(SUMIFS(I4:I285,$B$4:$B$285,"ป.บัณฑิต",$A$4:$A$285,"รวมทั้งวิทยาเขตสระแก้ว"),
     SUMIFS(I4:I285,$B$4:$B$285,"ป.บัณฑิต",$A$4:$A$285,"รวมทั้งวิทยาเขตจันทบุรี"),
     SUMIFS(I4:I285,$B$4:$B$285,"ป.บัณฑิต",$A$4:$A$285,"รวมทั้งวิทยาเขตบางแสน"))</f>
        <v>84</v>
      </c>
      <c r="J287" s="59"/>
      <c r="K287" s="133">
        <f>SUM(SUMIFS(K4:K285,$B$4:$B$285,"ป.บัณฑิต",$A$4:$A$285,"รวมทั้งวิทยาเขตสระแก้ว"),
     SUMIFS(K4:K285,$B$4:$B$285,"ป.บัณฑิต",$A$4:$A$285,"รวมทั้งวิทยาเขตจันทบุรี"),
     SUMIFS(K4:K285,$B$4:$B$285,"ป.บัณฑิต",$A$4:$A$285,"รวมทั้งวิทยาเขตบางแสน"))</f>
        <v>416</v>
      </c>
      <c r="L287" s="56">
        <f>SUM(SUMIFS(L4:L285,$B$4:$B$285,"ป.บัณฑิต",$A$4:$A$285,"รวมทั้งวิทยาเขตสระแก้ว"),
     SUMIFS(L4:L285,$B$4:$B$285,"ป.บัณฑิต",$A$4:$A$285,"รวมทั้งวิทยาเขตจันทบุรี"),
     SUMIFS(L4:L285,$B$4:$B$285,"ป.บัณฑิต",$A$4:$A$285,"รวมทั้งวิทยาเขตบางแสน"))</f>
        <v>34.67</v>
      </c>
      <c r="M287" s="56">
        <f>SUM(SUMIFS(M4:M285,$B$4:$B$285,"ป.บัณฑิต",$A$4:$A$285,"รวมทั้งวิทยาเขตสระแก้ว"),
     SUMIFS(M4:M285,$B$4:$B$285,"ป.บัณฑิต",$A$4:$A$285,"รวมทั้งวิทยาเขตจันทบุรี"),
     SUMIFS(M4:M285,$B$4:$B$285,"ป.บัณฑิต",$A$4:$A$285,"รวมทั้งวิทยาเขตบางแสน"))</f>
        <v>52.005000000000003</v>
      </c>
      <c r="N287" s="59"/>
      <c r="O287" s="133">
        <f>SUM(SUMIFS(O4:O285,$B$4:$B$285,"ป.บัณฑิต",$A$4:$A$285,"รวมทั้งวิทยาเขตสระแก้ว"),
     SUMIFS(O4:O285,$B$4:$B$285,"ป.บัณฑิต",$A$4:$A$285,"รวมทั้งวิทยาเขตจันทบุรี"),
     SUMIFS(O4:O285,$B$4:$B$285,"ป.บัณฑิต",$A$4:$A$285,"รวมทั้งวิทยาเขตบางแสน"))</f>
        <v>1088</v>
      </c>
      <c r="P287" s="56">
        <f>SUM(SUMIFS(P4:P285,$B$4:$B$285,"ป.บัณฑิต",$A$4:$A$285,"รวมทั้งวิทยาเขตสระแก้ว"),
     SUMIFS(P4:P285,$B$4:$B$285,"ป.บัณฑิต",$A$4:$A$285,"รวมทั้งวิทยาเขตจันทบุรี"),
     SUMIFS(P4:P285,$B$4:$B$285,"ป.บัณฑิต",$A$4:$A$285,"รวมทั้งวิทยาเขตบางแสน"))</f>
        <v>45.33</v>
      </c>
      <c r="Q287" s="56">
        <f>SUM(SUMIFS(Q4:Q285,$B$4:$B$285,"ป.บัณฑิต",$A$4:$A$285,"รวมทั้งวิทยาเขตสระแก้ว"),
     SUMIFS(Q4:Q285,$B$4:$B$285,"ป.บัณฑิต",$A$4:$A$285,"รวมทั้งวิทยาเขตจันทบุรี"),
     SUMIFS(Q4:Q285,$B$4:$B$285,"ป.บัณฑิต",$A$4:$A$285,"รวมทั้งวิทยาเขตบางแสน"))</f>
        <v>67.995000000000005</v>
      </c>
      <c r="R287" s="59"/>
    </row>
    <row r="288" spans="1:26" ht="18.75" customHeight="1" x14ac:dyDescent="0.35">
      <c r="A288" s="169" t="s">
        <v>92</v>
      </c>
      <c r="B288" s="160" t="s">
        <v>9</v>
      </c>
      <c r="C288" s="134">
        <f>SUM(SUMIFS(C4:C285,$B$4:$B$285,"ปริญญาโท",$A$4:$A$285,"รวมทั้งวิทยาเขตสระแก้ว"),
     SUMIFS(C4:C285,$B$4:$B$285,"ปริญญาโท",$A$4:$A$285,"รวมทั้งวิทยาเขตจันทบุรี"),
     SUMIFS(C4:C285,$B$4:$B$285,"ปริญญาโท",$A$4:$A$285,"รวมทั้งวิทยาเขตบางแสน"))</f>
        <v>5077</v>
      </c>
      <c r="D288" s="58">
        <f>SUM(SUMIFS(D4:D285,$B$4:$B$285,"ปริญญาโท",$A$4:$A$285,"รวมทั้งวิทยาเขตสระแก้ว"),
     SUMIFS(D4:D285,$B$4:$B$285,"ปริญญาโท",$A$4:$A$285,"รวมทั้งวิทยาเขตจันทบุรี"),
     SUMIFS(D4:D285,$B$4:$B$285,"ปริญญาโท",$A$4:$A$285,"รวมทั้งวิทยาเขตบางแสน"))</f>
        <v>423.09000000000003</v>
      </c>
      <c r="E288" s="58">
        <f>SUM(SUMIFS(E4:E285,$B$4:$B$285,"ปริญญาโท",$A$4:$A$285,"รวมทั้งวิทยาเขตสระแก้ว"),
     SUMIFS(E4:E285,$B$4:$B$285,"ปริญญาโท",$A$4:$A$285,"รวมทั้งวิทยาเขตจันทบุรี"),
     SUMIFS(E4:E285,$B$4:$B$285,"ปริญญาโท",$A$4:$A$285,"รวมทั้งวิทยาเขตบางแสน"))</f>
        <v>640.52600000000007</v>
      </c>
      <c r="F288" s="59"/>
      <c r="G288" s="134">
        <f>SUM(SUMIFS(G4:G285,$B$4:$B$285,"ปริญญาโท",$A$4:$A$285,"รวมทั้งวิทยาเขตสระแก้ว"),
     SUMIFS(G4:G285,$B$4:$B$285,"ปริญญาโท",$A$4:$A$285,"รวมทั้งวิทยาเขตจันทบุรี"),
     SUMIFS(G4:G285,$B$4:$B$285,"ปริญญาโท",$A$4:$A$285,"รวมทั้งวิทยาเขตบางแสน"))</f>
        <v>7238</v>
      </c>
      <c r="H288" s="58">
        <f>SUM(SUMIFS(H4:H285,$B$4:$B$285,"ปริญญาโท",$A$4:$A$285,"รวมทั้งวิทยาเขตสระแก้ว"),
     SUMIFS(H4:H285,$B$4:$B$285,"ปริญญาโท",$A$4:$A$285,"รวมทั้งวิทยาเขตจันทบุรี"),
     SUMIFS(H4:H285,$B$4:$B$285,"ปริญญาโท",$A$4:$A$285,"รวมทั้งวิทยาเขตบางแสน"))</f>
        <v>603.16000000000008</v>
      </c>
      <c r="I288" s="58">
        <f>SUM(SUMIFS(I4:I285,$B$4:$B$285,"ปริญญาโท",$A$4:$A$285,"รวมทั้งวิทยาเขตสระแก้ว"),
     SUMIFS(I4:I285,$B$4:$B$285,"ปริญญาโท",$A$4:$A$285,"รวมทั้งวิทยาเขตจันทบุรี"),
     SUMIFS(I4:I285,$B$4:$B$285,"ปริญญาโท",$A$4:$A$285,"รวมทั้งวิทยาเขตบางแสน"))</f>
        <v>927.48500000000013</v>
      </c>
      <c r="J288" s="59"/>
      <c r="K288" s="134">
        <f>SUM(SUMIFS(K4:K285,$B$4:$B$285,"ปริญญาโท",$A$4:$A$285,"รวมทั้งวิทยาเขตสระแก้ว"),
     SUMIFS(K4:K285,$B$4:$B$285,"ปริญญาโท",$A$4:$A$285,"รวมทั้งวิทยาเขตจันทบุรี"),
     SUMIFS(K4:K285,$B$4:$B$285,"ปริญญาโท",$A$4:$A$285,"รวมทั้งวิทยาเขตบางแสน"))</f>
        <v>1317</v>
      </c>
      <c r="L288" s="58">
        <f>SUM(SUMIFS(L4:L285,$B$4:$B$285,"ปริญญาโท",$A$4:$A$285,"รวมทั้งวิทยาเขตสระแก้ว"),
     SUMIFS(L4:L285,$B$4:$B$285,"ปริญญาโท",$A$4:$A$285,"รวมทั้งวิทยาเขตจันทบุรี"),
     SUMIFS(L4:L285,$B$4:$B$285,"ปริญญาโท",$A$4:$A$285,"รวมทั้งวิทยาเขตบางแสน"))</f>
        <v>109.74</v>
      </c>
      <c r="M288" s="58">
        <f>SUM(SUMIFS(M4:M285,$B$4:$B$285,"ปริญญาโท",$A$4:$A$285,"รวมทั้งวิทยาเขตสระแก้ว"),
     SUMIFS(M4:M285,$B$4:$B$285,"ปริญญาโท",$A$4:$A$285,"รวมทั้งวิทยาเขตจันทบุรี"),
     SUMIFS(M4:M285,$B$4:$B$285,"ปริญญาโท",$A$4:$A$285,"รวมทั้งวิทยาเขตบางแสน"))</f>
        <v>166.52999999999997</v>
      </c>
      <c r="N288" s="59"/>
      <c r="O288" s="134">
        <f>SUM(SUMIFS(O4:O285,$B$4:$B$285,"ปริญญาโท",$A$4:$A$285,"รวมทั้งวิทยาเขตสระแก้ว"),
     SUMIFS(O4:O285,$B$4:$B$285,"ปริญญาโท",$A$4:$A$285,"รวมทั้งวิทยาเขตจันทบุรี"),
     SUMIFS(O4:O285,$B$4:$B$285,"ปริญญาโท",$A$4:$A$285,"รวมทั้งวิทยาเขตบางแสน"))</f>
        <v>13632</v>
      </c>
      <c r="P288" s="58">
        <f>SUM(SUMIFS(P4:P285,$B$4:$B$285,"ปริญญาโท",$A$4:$A$285,"รวมทั้งวิทยาเขตสระแก้ว"),
     SUMIFS(P4:P285,$B$4:$B$285,"ปริญญาโท",$A$4:$A$285,"รวมทั้งวิทยาเขตจันทบุรี"),
     SUMIFS(P4:P285,$B$4:$B$285,"ปริญญาโท",$A$4:$A$285,"รวมทั้งวิทยาเขตบางแสน"))</f>
        <v>568.05000000000007</v>
      </c>
      <c r="Q288" s="58">
        <f>SUM(SUMIFS(Q4:Q285,$B$4:$B$285,"ปริญญาโท",$A$4:$A$285,"รวมทั้งวิทยาเขตสระแก้ว"),
     SUMIFS(Q4:Q285,$B$4:$B$285,"ปริญญาโท",$A$4:$A$285,"รวมทั้งวิทยาเขตจันทบุรี"),
     SUMIFS(Q4:Q285,$B$4:$B$285,"ปริญญาโท",$A$4:$A$285,"รวมทั้งวิทยาเขตบางแสน"))</f>
        <v>867.36500000000012</v>
      </c>
      <c r="R288" s="59"/>
    </row>
    <row r="289" spans="1:18" ht="18.75" customHeight="1" thickBot="1" x14ac:dyDescent="0.4">
      <c r="A289" s="170" t="s">
        <v>92</v>
      </c>
      <c r="B289" s="161" t="s">
        <v>10</v>
      </c>
      <c r="C289" s="135">
        <f>SUM(SUMIFS(C4:C285,$B$4:$B$285,"ปริญญาเอก",$A$4:$A$285,"รวมทั้งวิทยาเขตสระแก้ว"),
     SUMIFS(C4:C285,$B$4:$B$285,"ปริญญาเอก",$A$4:$A$285,"รวมทั้งวิทยาเขตจันทบุรี"),
     SUMIFS(C4:C285,$B$4:$B$285,"ปริญญาเอก",$A$4:$A$285,"รวมทั้งวิทยาเขตบางแสน"))</f>
        <v>249</v>
      </c>
      <c r="D289" s="60">
        <f>SUM(SUMIFS(D4:D285,$B$4:$B$285,"ปริญญาเอก",$A$4:$A$285,"รวมทั้งวิทยาเขตสระแก้ว"),
     SUMIFS(D4:D285,$B$4:$B$285,"ปริญญาเอก",$A$4:$A$285,"รวมทั้งวิทยาเขตจันทบุรี"),
     SUMIFS(D4:D285,$B$4:$B$285,"ปริญญาเอก",$A$4:$A$285,"รวมทั้งวิทยาเขตบางแสน"))</f>
        <v>20.75</v>
      </c>
      <c r="E289" s="60">
        <f>SUM(SUMIFS(E4:E285,$B$4:$B$285,"ปริญญาเอก",$A$4:$A$285,"รวมทั้งวิทยาเขตสระแก้ว"),
     SUMIFS(E4:E285,$B$4:$B$285,"ปริญญาเอก",$A$4:$A$285,"รวมทั้งวิทยาเขตจันทบุรี"),
     SUMIFS(E4:E285,$B$4:$B$285,"ปริญญาเอก",$A$4:$A$285,"รวมทั้งวิทยาเขตบางแสน"))</f>
        <v>37.35</v>
      </c>
      <c r="F289" s="61"/>
      <c r="G289" s="135">
        <f>SUM(SUMIFS(G4:G285,$B$4:$B$285,"ปริญญาเอก",$A$4:$A$285,"รวมทั้งวิทยาเขตสระแก้ว"),
     SUMIFS(G4:G285,$B$4:$B$285,"ปริญญาเอก",$A$4:$A$285,"รวมทั้งวิทยาเขตจันทบุรี"),
     SUMIFS(G4:G285,$B$4:$B$285,"ปริญญาเอก",$A$4:$A$285,"รวมทั้งวิทยาเขตบางแสน"))</f>
        <v>180</v>
      </c>
      <c r="H289" s="60">
        <f>SUM(SUMIFS(H4:H285,$B$4:$B$285,"ปริญญาเอก",$A$4:$A$285,"รวมทั้งวิทยาเขตสระแก้ว"),
     SUMIFS(H4:H285,$B$4:$B$285,"ปริญญาเอก",$A$4:$A$285,"รวมทั้งวิทยาเขตจันทบุรี"),
     SUMIFS(H4:H285,$B$4:$B$285,"ปริญญาเอก",$A$4:$A$285,"รวมทั้งวิทยาเขตบางแสน"))</f>
        <v>15</v>
      </c>
      <c r="I289" s="60">
        <f>SUM(SUMIFS(I4:I285,$B$4:$B$285,"ปริญญาเอก",$A$4:$A$285,"รวมทั้งวิทยาเขตสระแก้ว"),
     SUMIFS(I4:I285,$B$4:$B$285,"ปริญญาเอก",$A$4:$A$285,"รวมทั้งวิทยาเขตจันทบุรี"),
     SUMIFS(I4:I285,$B$4:$B$285,"ปริญญาเอก",$A$4:$A$285,"รวมทั้งวิทยาเขตบางแสน"))</f>
        <v>26.85</v>
      </c>
      <c r="J289" s="61"/>
      <c r="K289" s="135">
        <f>SUM(SUMIFS(K4:K285,$B$4:$B$285,"ปริญญาเอก",$A$4:$A$285,"รวมทั้งวิทยาเขตสระแก้ว"),
     SUMIFS(K4:K285,$B$4:$B$285,"ปริญญาเอก",$A$4:$A$285,"รวมทั้งวิทยาเขตจันทบุรี"),
     SUMIFS(K4:K285,$B$4:$B$285,"ปริญญาเอก",$A$4:$A$285,"รวมทั้งวิทยาเขตบางแสน"))</f>
        <v>84</v>
      </c>
      <c r="L289" s="60">
        <f>SUM(SUMIFS(L4:L285,$B$4:$B$285,"ปริญญาเอก",$A$4:$A$285,"รวมทั้งวิทยาเขตสระแก้ว"),
     SUMIFS(L4:L285,$B$4:$B$285,"ปริญญาเอก",$A$4:$A$285,"รวมทั้งวิทยาเขตจันทบุรี"),
     SUMIFS(L4:L285,$B$4:$B$285,"ปริญญาเอก",$A$4:$A$285,"รวมทั้งวิทยาเขตบางแสน"))</f>
        <v>7</v>
      </c>
      <c r="M289" s="60">
        <f>SUM(SUMIFS(M4:M285,$B$4:$B$285,"ปริญญาเอก",$A$4:$A$285,"รวมทั้งวิทยาเขตสระแก้ว"),
     SUMIFS(M4:M285,$B$4:$B$285,"ปริญญาเอก",$A$4:$A$285,"รวมทั้งวิทยาเขตจันทบุรี"),
     SUMIFS(M4:M285,$B$4:$B$285,"ปริญญาเอก",$A$4:$A$285,"รวมทั้งวิทยาเขตบางแสน"))</f>
        <v>12.6</v>
      </c>
      <c r="N289" s="61"/>
      <c r="O289" s="135">
        <f>SUM(SUMIFS(O4:O285,$B$4:$B$285,"ปริญญาเอก",$A$4:$A$285,"รวมทั้งวิทยาเขตสระแก้ว"),
     SUMIFS(O4:O285,$B$4:$B$285,"ปริญญาเอก",$A$4:$A$285,"รวมทั้งวิทยาเขตจันทบุรี"),
     SUMIFS(O4:O285,$B$4:$B$285,"ปริญญาเอก",$A$4:$A$285,"รวมทั้งวิทยาเขตบางแสน"))</f>
        <v>513</v>
      </c>
      <c r="P289" s="60">
        <f>SUM(SUMIFS(P4:P285,$B$4:$B$285,"ปริญญาเอก",$A$4:$A$285,"รวมทั้งวิทยาเขตสระแก้ว"),
     SUMIFS(P4:P285,$B$4:$B$285,"ปริญญาเอก",$A$4:$A$285,"รวมทั้งวิทยาเขตจันทบุรี"),
     SUMIFS(P4:P285,$B$4:$B$285,"ปริญญาเอก",$A$4:$A$285,"รวมทั้งวิทยาเขตบางแสน"))</f>
        <v>21.38</v>
      </c>
      <c r="Q289" s="60">
        <f>SUM(SUMIFS(Q4:Q285,$B$4:$B$285,"ปริญญาเอก",$A$4:$A$285,"รวมทั้งวิทยาเขตสระแก้ว"),
     SUMIFS(Q4:Q285,$B$4:$B$285,"ปริญญาเอก",$A$4:$A$285,"รวมทั้งวิทยาเขตจันทบุรี"),
     SUMIFS(Q4:Q285,$B$4:$B$285,"ปริญญาเอก",$A$4:$A$285,"รวมทั้งวิทยาเขตบางแสน"))</f>
        <v>38.409000000000006</v>
      </c>
      <c r="R289" s="61"/>
    </row>
  </sheetData>
  <mergeCells count="6">
    <mergeCell ref="G2:J2"/>
    <mergeCell ref="K2:N2"/>
    <mergeCell ref="O2:R2"/>
    <mergeCell ref="A2:A3"/>
    <mergeCell ref="B2:B3"/>
    <mergeCell ref="C2:F2"/>
  </mergeCells>
  <conditionalFormatting sqref="B273">
    <cfRule type="expression" dxfId="18" priority="16">
      <formula>INT(B273)=B273</formula>
    </cfRule>
  </conditionalFormatting>
  <conditionalFormatting sqref="C259:C269">
    <cfRule type="expression" dxfId="17" priority="7">
      <formula>INT(C259)=C259</formula>
    </cfRule>
  </conditionalFormatting>
  <conditionalFormatting sqref="C276:C282">
    <cfRule type="expression" dxfId="16" priority="5">
      <formula>INT(C276)=C276</formula>
    </cfRule>
  </conditionalFormatting>
  <conditionalFormatting sqref="C4:R289">
    <cfRule type="expression" dxfId="15" priority="1">
      <formula>ABS(C4-INT(C4))&lt;0.01</formula>
    </cfRule>
  </conditionalFormatting>
  <conditionalFormatting sqref="G1">
    <cfRule type="expression" dxfId="14" priority="19">
      <formula>$G$1="ปิด"</formula>
    </cfRule>
  </conditionalFormatting>
  <conditionalFormatting sqref="I1:K1">
    <cfRule type="expression" dxfId="13" priority="21">
      <formula>$G$1="เปิด"</formula>
    </cfRule>
    <cfRule type="expression" dxfId="12" priority="21">
      <formula>OR($G$1="ปิด", $G$1="")</formula>
    </cfRule>
  </conditionalFormatting>
  <dataValidations disablePrompts="1" count="1">
    <dataValidation type="list" allowBlank="1" showInputMessage="1" showErrorMessage="1" sqref="G1" xr:uid="{FFB3C334-E170-472F-AE14-E8A64E3654DF}">
      <formula1>"เปิด, ปิด"</formula1>
    </dataValidation>
  </dataValidations>
  <printOptions horizontalCentered="1"/>
  <pageMargins left="0.19685039370078741" right="0.19685039370078741" top="0.31496062992125984" bottom="0.34" header="0" footer="0"/>
  <pageSetup paperSize="9" scale="70" orientation="landscape" r:id="rId1"/>
  <headerFooter>
    <oddFooter>&amp;CPage &amp;P of</oddFooter>
  </headerFooter>
  <ignoredErrors>
    <ignoredError sqref="P21:R21 P50:Q50 P48:R48 P24:R24 P22:Q22 P23:Q23 P27:R27 P25:Q25 P26:Q26 P30:R30 P28:Q28 P29:Q29 P33:R33 P31:Q31 P32:Q32 P36:R36 P34:Q34 P35:Q35 P39:R39 P37:Q37 P38:Q38 P42:R42 P40:Q40 P41:Q41 P45:R45 P43:Q43 P44:Q44 P47:Q47 P46:Q46 P49:Q4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1"/>
  <dimension ref="A1:G57"/>
  <sheetViews>
    <sheetView showGridLines="0" zoomScaleNormal="100" workbookViewId="0">
      <pane ySplit="2" topLeftCell="A3" activePane="bottomLeft" state="frozen"/>
      <selection activeCell="A20" sqref="A20"/>
      <selection pane="bottomLeft" activeCell="A3" sqref="A3"/>
    </sheetView>
  </sheetViews>
  <sheetFormatPr defaultColWidth="12.625" defaultRowHeight="15" customHeight="1" x14ac:dyDescent="0.25"/>
  <cols>
    <col min="1" max="1" width="30.375" style="2" customWidth="1"/>
    <col min="2" max="2" width="13.875" style="2" customWidth="1"/>
    <col min="3" max="7" width="10.125" style="2" customWidth="1"/>
    <col min="8" max="16384" width="12.625" style="2"/>
  </cols>
  <sheetData>
    <row r="1" spans="1:7" ht="21" customHeight="1" x14ac:dyDescent="0.35">
      <c r="A1" s="10" t="s">
        <v>117</v>
      </c>
      <c r="B1" s="3"/>
      <c r="C1" s="4"/>
      <c r="D1" s="4"/>
      <c r="E1" s="4"/>
      <c r="F1" s="4"/>
      <c r="G1" s="111"/>
    </row>
    <row r="2" spans="1:7" ht="21" customHeight="1" x14ac:dyDescent="0.25">
      <c r="A2" s="17" t="s">
        <v>93</v>
      </c>
      <c r="B2" s="18" t="s">
        <v>94</v>
      </c>
      <c r="C2" s="193" t="s">
        <v>116</v>
      </c>
      <c r="D2" s="194" t="s">
        <v>101</v>
      </c>
      <c r="E2" s="193" t="s">
        <v>104</v>
      </c>
      <c r="F2" s="18" t="s">
        <v>95</v>
      </c>
      <c r="G2" s="18" t="s">
        <v>96</v>
      </c>
    </row>
    <row r="3" spans="1:7" ht="21" customHeight="1" x14ac:dyDescent="0.35">
      <c r="A3" s="5" t="str">
        <f>HYPERLINK(IF($G$1="เปิด", "#ปกติ!A" &amp; MATCH("คณะดนตรีและการแสดง", ปกติ!A:A, 0), ""), IF($G$1="เปิด", "คณะดนตรีและการแสดง (ไปชีทปกติ)", "คณะดนตรีและการแสดง"))</f>
        <v>คณะดนตรีและการแสดง</v>
      </c>
      <c r="B3" s="5" t="s">
        <v>8</v>
      </c>
      <c r="C3" s="121">
        <f>HYPERLINK(IF($G$1="เปิด", "#'ปกติ'!" &amp; ADDRESS(ROW(ปกติ!D5), COLUMN(ปกติ!D5), 4), ""), ปกติ!D5)</f>
        <v>581.75</v>
      </c>
      <c r="D3" s="121">
        <f>HYPERLINK(IF($G$1="เปิด", "#'ปกติ'!" &amp; ADDRESS(ROW(ปกติ!H5), COLUMN(ปกติ!H5), 4), ""), ปกติ!H5)</f>
        <v>449</v>
      </c>
      <c r="E3" s="121">
        <f>HYPERLINK(IF($G$1="เปิด", "#'ปกติ'!" &amp; ADDRESS(ROW(ปกติ!L5), COLUMN(ปกติ!L5), 4), ""), ปกติ!L5)</f>
        <v>0.5</v>
      </c>
      <c r="F3" s="183">
        <f>HYPERLINK(IF($G$1="เปิด", "#'ปกติ'!" &amp; ADDRESS(ROW(ปกติ!P5), COLUMN(ปกติ!P5), 4), ""), ปกติ!P5)</f>
        <v>515.62</v>
      </c>
      <c r="G3" s="221">
        <f>SUM(F3:F4)</f>
        <v>519.66999999999996</v>
      </c>
    </row>
    <row r="4" spans="1:7" ht="21" customHeight="1" x14ac:dyDescent="0.35">
      <c r="A4" s="192" t="str">
        <f>HYPERLINK(IF('รวมปกติ+พิเศษ'!$L$1="เปิด", "#'รวมปกติ+พิเศษ'!A" &amp; MATCH("คณะดนตรีและการแสดง", 'รวมปกติ+พิเศษ'!A:A, 0), "#A"&amp;ROW()), IF('รวมปกติ+พิเศษ'!$L$1="เปิด", "กลับรวมปกติ+พิเศษ", ""))</f>
        <v/>
      </c>
      <c r="B4" s="191" t="s">
        <v>97</v>
      </c>
      <c r="C4" s="218">
        <f>HYPERLINK(IF($G$1="เปิด", "#'ปกติ'!" &amp; ADDRESS(ROW(ปกติ!E6), COLUMN(ปกติ!E6), 4) &amp; ":" &amp; ADDRESS(ROW(ปกติ!E7), COLUMN(ปกติ!E7), 4), ""), SUM(ปกติ!E6:E7))</f>
        <v>3.15</v>
      </c>
      <c r="D4" s="218">
        <f>HYPERLINK(IF($G$1="เปิด", "#'ปกติ'!" &amp; ADDRESS(ROW(ปกติ!I6), COLUMN(ปกติ!I6), 4) &amp; ":" &amp; ADDRESS(ROW(ปกติ!I7), COLUMN(ปกติ!I7), 4), ""), SUM(ปกติ!I6:I7))</f>
        <v>4.95</v>
      </c>
      <c r="E4" s="269">
        <f>HYPERLINK(IF($G$1="เปิด", "#'ปกติ'!" &amp; ADDRESS(ROW(ปกติ!M6), COLUMN(ปกติ!M6), 4) &amp; ":" &amp; ADDRESS(ROW(ปกติ!M7), COLUMN(ปกติ!M7), 4), ""), SUM(ปกติ!M6:M7))</f>
        <v>0</v>
      </c>
      <c r="F4" s="219">
        <f>HYPERLINK(IF($G$1="เปิด", "#'ปกติ'!" &amp; ADDRESS(ROW(ปกติ!Q6), COLUMN(ปกติ!Q6), 4) &amp; ":" &amp; ADDRESS(ROW(ปกติ!Q7), COLUMN(ปกติ!Q7), 4), ""), SUM(ปกติ!Q6:Q7))</f>
        <v>4.05</v>
      </c>
      <c r="G4" s="220"/>
    </row>
    <row r="5" spans="1:7" ht="21" customHeight="1" x14ac:dyDescent="0.35">
      <c r="A5" s="5" t="str">
        <f>HYPERLINK(IF($G$1="เปิด", "#ปกติ!A" &amp; MATCH("คณะทันตแพทยศาสตร์", ปกติ!A:A, 0), ""), IF($G$1="เปิด", "คณะทันตแพทยศาสตร์ (ไปชีทปกติ)", "คณะทันตแพทยศาสตร์"))</f>
        <v>คณะทันตแพทยศาสตร์</v>
      </c>
      <c r="B5" s="5" t="s">
        <v>8</v>
      </c>
      <c r="C5" s="121">
        <f>HYPERLINK(IF($G$1="เปิด", "#'ปกติ'!" &amp; ADDRESS(ROW(ปกติ!D9), COLUMN(ปกติ!D9), 4), ""), ปกติ!D9)</f>
        <v>8.89</v>
      </c>
      <c r="D5" s="121">
        <f>HYPERLINK(IF($G$1="เปิด", "#'ปกติ'!" &amp; ADDRESS(ROW(ปกติ!H9), COLUMN(ปกติ!H9), 4), ""), ปกติ!H9)</f>
        <v>0</v>
      </c>
      <c r="E5" s="121">
        <f>HYPERLINK(IF($G$1="เปิด", "#'ปกติ'!" &amp; ADDRESS(ROW(ปกติ!L9), COLUMN(ปกติ!L9), 4), ""), ปกติ!L9)</f>
        <v>0</v>
      </c>
      <c r="F5" s="183">
        <f>HYPERLINK(IF($G$1="เปิด", "#'ปกติ'!" &amp; ADDRESS(ROW(ปกติ!P9), COLUMN(ปกติ!P9), 4), ""), ปกติ!P9)</f>
        <v>4.4400000000000004</v>
      </c>
      <c r="G5" s="221">
        <f>SUM(F5:F6)</f>
        <v>4.4400000000000004</v>
      </c>
    </row>
    <row r="6" spans="1:7" ht="21" customHeight="1" x14ac:dyDescent="0.35">
      <c r="A6" s="192" t="str">
        <f>HYPERLINK(IF('รวมปกติ+พิเศษ'!$L$1="เปิด", "#'รวมปกติ+พิเศษ'!A" &amp; MATCH("คณะทันตแพทยศาสตร์", 'รวมปกติ+พิเศษ'!A:A, 0), "#A"&amp;ROW()), IF('รวมปกติ+พิเศษ'!$L$1="เปิด", "กลับรวมปกติ+พิเศษ", ""))</f>
        <v/>
      </c>
      <c r="B6" s="191" t="s">
        <v>97</v>
      </c>
      <c r="C6" s="121">
        <f>HYPERLINK(IF($G$1="เปิด", "#'ปกติ'!" &amp; ADDRESS(ROW(ปกติ!E10), COLUMN(ปกติ!E10), 4) &amp; ":" &amp; ADDRESS(ROW(ปกติ!E11), COLUMN(ปกติ!E11), 4), ""), SUM(ปกติ!E10:E11))</f>
        <v>0</v>
      </c>
      <c r="D6" s="121">
        <f>HYPERLINK(IF($G$1="เปิด", "#'ปกติ'!" &amp; ADDRESS(ROW(ปกติ!I10), COLUMN(ปกติ!I10), 4) &amp; ":" &amp; ADDRESS(ROW(ปกติ!I11), COLUMN(ปกติ!I11), 4), ""), SUM(ปกติ!I10:I11))</f>
        <v>0</v>
      </c>
      <c r="E6" s="121">
        <f>HYPERLINK(IF($G$1="เปิด", "#'ปกติ'!" &amp; ADDRESS(ROW(ปกติ!M10), COLUMN(ปกติ!M10), 4) &amp; ":" &amp; ADDRESS(ROW(ปกติ!M11), COLUMN(ปกติ!M11), 4), ""), SUM(ปกติ!M10:M11))</f>
        <v>0</v>
      </c>
      <c r="F6" s="219">
        <f>HYPERLINK(IF($G$1="เปิด", "#'ปกติ'!" &amp; ADDRESS(ROW(ปกติ!Q10), COLUMN(ปกติ!Q10), 4) &amp; ":" &amp; ADDRESS(ROW(ปกติ!Q11), COLUMN(ปกติ!Q11), 4), ""), SUM(ปกติ!Q10:Q11))</f>
        <v>0</v>
      </c>
      <c r="G6" s="220"/>
    </row>
    <row r="7" spans="1:7" ht="21" customHeight="1" x14ac:dyDescent="0.35">
      <c r="A7" s="5" t="str">
        <f>HYPERLINK(IF($G$1="เปิด", "#ปกติ!A" &amp; MATCH("คณะนิติศาสตร์", ปกติ!A:A, 0), ""), IF($G$1="เปิด", "คณะนิติศาสตร์ (ไปชีทปกติ)", "คณะนิติศาสตร์"))</f>
        <v>คณะนิติศาสตร์</v>
      </c>
      <c r="B7" s="5" t="s">
        <v>8</v>
      </c>
      <c r="C7" s="121">
        <f>HYPERLINK(IF($G$1="เปิด", "#'ปกติ'!" &amp; ADDRESS(ROW(ปกติ!D13), COLUMN(ปกติ!D13), 4), ""), ปกติ!D13)</f>
        <v>15.83</v>
      </c>
      <c r="D7" s="121">
        <f>HYPERLINK(IF($G$1="เปิด", "#'ปกติ'!" &amp; ADDRESS(ROW(ปกติ!H13), COLUMN(ปกติ!H13), 4), ""), ปกติ!H13)</f>
        <v>0</v>
      </c>
      <c r="E7" s="121">
        <f>HYPERLINK(IF($G$1="เปิด", "#'ปกติ'!" &amp; ADDRESS(ROW(ปกติ!L13), COLUMN(ปกติ!L13), 4), ""), ปกติ!L13)</f>
        <v>0</v>
      </c>
      <c r="F7" s="183">
        <f>HYPERLINK(IF($G$1="เปิด", "#'ปกติ'!" &amp; ADDRESS(ROW(ปกติ!P13), COLUMN(ปกติ!P13), 4), ""), ปกติ!P13)</f>
        <v>7.92</v>
      </c>
      <c r="G7" s="221">
        <f>SUM(F7:F8)</f>
        <v>7.92</v>
      </c>
    </row>
    <row r="8" spans="1:7" ht="21" customHeight="1" x14ac:dyDescent="0.35">
      <c r="A8" s="192" t="str">
        <f>HYPERLINK(IF('รวมปกติ+พิเศษ'!$L$1="เปิด", "#'รวมปกติ+พิเศษ'!A" &amp; MATCH("คณะนิติศาสตร์", 'รวมปกติ+พิเศษ'!A:A, 0), "#A"&amp;ROW()), IF('รวมปกติ+พิเศษ'!$L$1="เปิด", "กลับรวมปกติ+พิเศษ", ""))</f>
        <v/>
      </c>
      <c r="B8" s="191" t="s">
        <v>97</v>
      </c>
      <c r="C8" s="121">
        <f>HYPERLINK(IF($G$1="เปิด", "#'ปกติ'!" &amp; ADDRESS(ROW(ปกติ!E14), COLUMN(ปกติ!E14), 4) &amp; ":" &amp; ADDRESS(ROW(ปกติ!E15), COLUMN(ปกติ!E15), 4), ""), SUM(ปกติ!E14:E15))</f>
        <v>0</v>
      </c>
      <c r="D8" s="121">
        <f>HYPERLINK(IF($G$1="เปิด", "#'ปกติ'!" &amp; ADDRESS(ROW(ปกติ!I14), COLUMN(ปกติ!I14), 4) &amp; ":" &amp; ADDRESS(ROW(ปกติ!I15), COLUMN(ปกติ!I15), 4), ""), SUM(ปกติ!I14:I15))</f>
        <v>0</v>
      </c>
      <c r="E8" s="121">
        <f>HYPERLINK(IF($G$1="เปิด", "#'ปกติ'!" &amp; ADDRESS(ROW(ปกติ!M14), COLUMN(ปกติ!M14), 4) &amp; ":" &amp; ADDRESS(ROW(ปกติ!M15), COLUMN(ปกติ!M15), 4), ""), SUM(ปกติ!M14:M15))</f>
        <v>0</v>
      </c>
      <c r="F8" s="219">
        <f>HYPERLINK(IF($G$1="เปิด", "#'ปกติ'!" &amp; ADDRESS(ROW(ปกติ!Q14), COLUMN(ปกติ!Q14), 4) &amp; ":" &amp; ADDRESS(ROW(ปกติ!Q15), COLUMN(ปกติ!Q15), 4), ""), SUM(ปกติ!Q14:Q15))</f>
        <v>0</v>
      </c>
      <c r="G8" s="220"/>
    </row>
    <row r="9" spans="1:7" ht="21" customHeight="1" x14ac:dyDescent="0.35">
      <c r="A9" s="5" t="str">
        <f>HYPERLINK(IF($G$1="เปิด", "#ปกติ!A" &amp; MATCH("คณะบริหารธุรกิจ", ปกติ!A:A, 0), ""), IF($G$1="เปิด", "คณะบริหารธุรกิจ (ไปชีทปกติ)", "คณะบริหารธุรกิจ"))</f>
        <v>คณะบริหารธุรกิจ</v>
      </c>
      <c r="B9" s="5" t="s">
        <v>8</v>
      </c>
      <c r="C9" s="121">
        <f>HYPERLINK(IF($G$1="เปิด", "#'ปกติ'!" &amp; ADDRESS(ROW(ปกติ!D17), COLUMN(ปกติ!D17), 4), ""), ปกติ!D17)</f>
        <v>1145.9000000000001</v>
      </c>
      <c r="D9" s="121">
        <f>HYPERLINK(IF($G$1="เปิด", "#'ปกติ'!" &amp; ADDRESS(ROW(ปกติ!H17), COLUMN(ปกติ!H17), 4), ""), ปกติ!H17)</f>
        <v>468.28</v>
      </c>
      <c r="E9" s="121">
        <f>HYPERLINK(IF($G$1="เปิด", "#'ปกติ'!" &amp; ADDRESS(ROW(ปกติ!L17), COLUMN(ปกติ!L17), 4), ""), ปกติ!L17)</f>
        <v>0</v>
      </c>
      <c r="F9" s="183">
        <f>HYPERLINK(IF($G$1="เปิด", "#'ปกติ'!" &amp; ADDRESS(ROW(ปกติ!P17), COLUMN(ปกติ!P17), 4), ""), ปกติ!P17)</f>
        <v>807.09</v>
      </c>
      <c r="G9" s="221">
        <f>SUM(F9:F10)</f>
        <v>807.09</v>
      </c>
    </row>
    <row r="10" spans="1:7" ht="21" customHeight="1" x14ac:dyDescent="0.35">
      <c r="A10" s="192" t="str">
        <f>HYPERLINK(IF('รวมปกติ+พิเศษ'!$L$1="เปิด", "#'รวมปกติ+พิเศษ'!A" &amp; MATCH("คณะบริหารธุรกิจ", 'รวมปกติ+พิเศษ'!A:A, 0), "#A"&amp;ROW()), IF('รวมปกติ+พิเศษ'!$L$1="เปิด", "กลับรวมปกติ+พิเศษ", ""))</f>
        <v/>
      </c>
      <c r="B10" s="191" t="s">
        <v>97</v>
      </c>
      <c r="C10" s="218">
        <f>HYPERLINK(IF($G$1="เปิด", "#'ปกติ'!" &amp; ADDRESS(ROW(ปกติ!E18), COLUMN(ปกติ!E18), 4) &amp; ":" &amp; ADDRESS(ROW(ปกติ!E19), COLUMN(ปกติ!E19), 4), ""), SUM(ปกติ!E18:E19))</f>
        <v>0</v>
      </c>
      <c r="D10" s="218">
        <f>HYPERLINK(IF($G$1="เปิด", "#'ปกติ'!" &amp; ADDRESS(ROW(ปกติ!I18), COLUMN(ปกติ!I18), 4) &amp; ":" &amp; ADDRESS(ROW(ปกติ!I19), COLUMN(ปกติ!I19), 4), ""), SUM(ปกติ!I18:I19))</f>
        <v>0</v>
      </c>
      <c r="E10" s="218">
        <f>HYPERLINK(IF($G$1="เปิด", "#'ปกติ'!" &amp; ADDRESS(ROW(ปกติ!M18), COLUMN(ปกติ!M18), 4) &amp; ":" &amp; ADDRESS(ROW(ปกติ!M19), COLUMN(ปกติ!M19), 4), ""), SUM(ปกติ!M18:M19))</f>
        <v>0</v>
      </c>
      <c r="F10" s="219">
        <f>HYPERLINK(IF($G$1="เปิด", "#'ปกติ'!" &amp; ADDRESS(ROW(ปกติ!Q18), COLUMN(ปกติ!Q18), 4) &amp; ":" &amp; ADDRESS(ROW(ปกติ!Q19), COLUMN(ปกติ!Q19), 4), ""), SUM(ปกติ!Q18:Q19))</f>
        <v>0</v>
      </c>
      <c r="G10" s="220"/>
    </row>
    <row r="11" spans="1:7" ht="21" customHeight="1" x14ac:dyDescent="0.35">
      <c r="A11" s="5" t="str">
        <f>HYPERLINK(IF($G$1="เปิด", "#ปกติ!A" &amp; MATCH("คณะพยาบาลศาสตร์", ปกติ!A:A, 0), ""), IF($G$1="เปิด", "คณะพยาบาลศาสตร์ (ไปชีทปกติ)", "คณะพยาบาลศาสตร์"))</f>
        <v>คณะพยาบาลศาสตร์</v>
      </c>
      <c r="B11" s="5" t="s">
        <v>8</v>
      </c>
      <c r="C11" s="121">
        <f>HYPERLINK(IF($G$1="เปิด", "#'ปกติ'!" &amp; ADDRESS(ROW(ปกติ!D21), COLUMN(ปกติ!D21), 4), ""), ปกติ!D21)</f>
        <v>547.94000000000005</v>
      </c>
      <c r="D11" s="121">
        <f>HYPERLINK(IF($G$1="เปิด", "#'ปกติ'!" &amp; ADDRESS(ROW(ปกติ!H21), COLUMN(ปกติ!H21), 4), ""), ปกติ!H21)</f>
        <v>449.56</v>
      </c>
      <c r="E11" s="121">
        <f>HYPERLINK(IF($G$1="เปิด", "#'ปกติ'!" &amp; ADDRESS(ROW(ปกติ!L21), COLUMN(ปกติ!L21), 4), ""), ปกติ!L21)</f>
        <v>2.11</v>
      </c>
      <c r="F11" s="183">
        <f>HYPERLINK(IF($G$1="เปิด", "#'ปกติ'!" &amp; ADDRESS(ROW(ปกติ!P21), COLUMN(ปกติ!P21), 4), ""), ปกติ!P21)</f>
        <v>499.81</v>
      </c>
      <c r="G11" s="221">
        <f>SUM(F11:F12)</f>
        <v>604.77</v>
      </c>
    </row>
    <row r="12" spans="1:7" ht="21" customHeight="1" x14ac:dyDescent="0.35">
      <c r="A12" s="192" t="str">
        <f>HYPERLINK(IF('รวมปกติ+พิเศษ'!$L$1="เปิด", "#'รวมปกติ+พิเศษ'!A" &amp; MATCH("คณะพยาบาลศาสตร์", 'รวมปกติ+พิเศษ'!A:A, 0), "#A"&amp;ROW()), IF('รวมปกติ+พิเศษ'!$L$1="เปิด", "กลับรวมปกติ+พิเศษ", ""))</f>
        <v/>
      </c>
      <c r="B12" s="191" t="s">
        <v>97</v>
      </c>
      <c r="C12" s="218">
        <f>HYPERLINK(IF($G$1="เปิด", "#'ปกติ'!" &amp; ADDRESS(ROW(ปกติ!E22), COLUMN(ปกติ!E22), 4) &amp; ":" &amp; ADDRESS(ROW(ปกติ!E23), COLUMN(ปกติ!E23), 4), ""), SUM(ปกติ!E22:E23))</f>
        <v>131.42000000000002</v>
      </c>
      <c r="D12" s="218">
        <f>HYPERLINK(IF($G$1="เปิด", "#'ปกติ'!" &amp; ADDRESS(ROW(ปกติ!I22), COLUMN(ปกติ!I22), 4) &amp; ":" &amp; ADDRESS(ROW(ปกติ!I23), COLUMN(ปกติ!I23), 4), ""), SUM(ปกติ!I22:I23))</f>
        <v>78.5</v>
      </c>
      <c r="E12" s="218">
        <f>HYPERLINK(IF($G$1="เปิด", "#'ปกติ'!" &amp; ADDRESS(ROW(ปกติ!M22), COLUMN(ปกติ!M22), 4) &amp; ":" &amp; ADDRESS(ROW(ปกติ!M23), COLUMN(ปกติ!M23), 4), ""), SUM(ปกติ!M22:M23))</f>
        <v>0</v>
      </c>
      <c r="F12" s="219">
        <f>HYPERLINK(IF($G$1="เปิด", "#'ปกติ'!" &amp; ADDRESS(ROW(ปกติ!Q22), COLUMN(ปกติ!Q22), 4) &amp; ":" &amp; ADDRESS(ROW(ปกติ!Q23), COLUMN(ปกติ!Q23), 4), ""), SUM(ปกติ!Q22:Q23))</f>
        <v>104.96</v>
      </c>
      <c r="G12" s="220"/>
    </row>
    <row r="13" spans="1:7" ht="21" customHeight="1" x14ac:dyDescent="0.35">
      <c r="A13" s="5" t="str">
        <f>HYPERLINK(IF($G$1="เปิด", "#ปกติ!A" &amp; MATCH("คณะแพทยศาสตร์", ปกติ!A:A, 0), ""), IF($G$1="เปิด", "คณะแพทยศาสตร์ (ไปชีทปกติ)", "คณะแพทยศาสตร์"))</f>
        <v>คณะแพทยศาสตร์</v>
      </c>
      <c r="B13" s="5" t="s">
        <v>8</v>
      </c>
      <c r="C13" s="121">
        <f>HYPERLINK(IF($G$1="เปิด", "#'ปกติ'!" &amp; ADDRESS(ROW(ปกติ!D52), COLUMN(ปกติ!D52), 4), ""), ปกติ!D52)</f>
        <v>524.52</v>
      </c>
      <c r="D13" s="121">
        <f>HYPERLINK(IF($G$1="เปิด", "#'ปกติ'!" &amp; ADDRESS(ROW(ปกติ!H52), COLUMN(ปกติ!H52), 4), ""), ปกติ!H52)</f>
        <v>100.17</v>
      </c>
      <c r="E13" s="121">
        <f>HYPERLINK(IF($G$1="เปิด", "#'ปกติ'!" &amp; ADDRESS(ROW(ปกติ!L52), COLUMN(ปกติ!L52), 4), ""), ปกติ!L52)</f>
        <v>23</v>
      </c>
      <c r="F13" s="183">
        <f>HYPERLINK(IF($G$1="เปิด", "#'ปกติ'!" &amp; ADDRESS(ROW(ปกติ!P52), COLUMN(ปกติ!P52), 4), ""), ปกติ!P52)</f>
        <v>323.83999999999997</v>
      </c>
      <c r="G13" s="221">
        <f>SUM(F13:F14)</f>
        <v>323.83999999999997</v>
      </c>
    </row>
    <row r="14" spans="1:7" ht="21" customHeight="1" x14ac:dyDescent="0.35">
      <c r="A14" s="192" t="str">
        <f>HYPERLINK(IF('รวมปกติ+พิเศษ'!$L$1="เปิด", "#'รวมปกติ+พิเศษ'!A" &amp; MATCH("คณะแพทยศาสตร์", 'รวมปกติ+พิเศษ'!A:A, 0), "#A"&amp;ROW()), IF('รวมปกติ+พิเศษ'!$L$1="เปิด", "กลับรวมปกติ+พิเศษ", ""))</f>
        <v/>
      </c>
      <c r="B14" s="191" t="s">
        <v>97</v>
      </c>
      <c r="C14" s="218">
        <f>HYPERLINK(IF($G$1="เปิด", "#'ปกติ'!" &amp; ADDRESS(ROW(ปกติ!E53), COLUMN(ปกติ!E53), 4) &amp; ":" &amp; ADDRESS(ROW(ปกติ!E54), COLUMN(ปกติ!E54), 4), ""), SUM(ปกติ!E53:E54))</f>
        <v>0</v>
      </c>
      <c r="D14" s="218">
        <f>HYPERLINK(IF($G$1="เปิด", "#'ปกติ'!" &amp; ADDRESS(ROW(ปกติ!I53), COLUMN(ปกติ!I53), 4) &amp; ":" &amp; ADDRESS(ROW(ปกติ!I54), COLUMN(ปกติ!I54), 4), ""), SUM(ปกติ!I53:I54))</f>
        <v>0</v>
      </c>
      <c r="E14" s="218">
        <f>HYPERLINK(IF($G$1="เปิด", "#'ปกติ'!" &amp; ADDRESS(ROW(ปกติ!M53), COLUMN(ปกติ!M53), 4) &amp; ":" &amp; ADDRESS(ROW(ปกติ!M54), COLUMN(ปกติ!M54), 4), ""), SUM(ปกติ!M53:M54))</f>
        <v>0</v>
      </c>
      <c r="F14" s="219">
        <f>HYPERLINK(IF($G$1="เปิด", "#'ปกติ'!" &amp; ADDRESS(ROW(ปกติ!Q53), COLUMN(ปกติ!Q53), 4) &amp; ":" &amp; ADDRESS(ROW(ปกติ!Q54), COLUMN(ปกติ!Q54), 4), ""), SUM(ปกติ!Q53:Q54))</f>
        <v>0</v>
      </c>
      <c r="G14" s="220"/>
    </row>
    <row r="15" spans="1:7" ht="21" customHeight="1" x14ac:dyDescent="0.35">
      <c r="A15" s="5" t="str">
        <f>HYPERLINK(IF($G$1="เปิด", "#ปกติ!A" &amp; MATCH("คณะภูมิสารสนเทศศาสตร์", ปกติ!A:A, 0), ""), IF($G$1="เปิด", "คณะภูมิสารสนเทศศาสตร์ (ไปชีทปกติ)", "คณะภูมิสารสนเทศศาสตร์"))</f>
        <v>คณะภูมิสารสนเทศศาสตร์</v>
      </c>
      <c r="B15" s="5" t="s">
        <v>8</v>
      </c>
      <c r="C15" s="121">
        <f>HYPERLINK(IF($G$1="เปิด", "#'ปกติ'!" &amp; ADDRESS(ROW(ปกติ!D56), COLUMN(ปกติ!D56), 4), ""), ปกติ!D56)</f>
        <v>162.11000000000001</v>
      </c>
      <c r="D15" s="121">
        <f>HYPERLINK(IF($G$1="เปิด", "#'ปกติ'!" &amp; ADDRESS(ROW(ปกติ!H56), COLUMN(ปกติ!H56), 4), ""), ปกติ!H56)</f>
        <v>212</v>
      </c>
      <c r="E15" s="121">
        <f>HYPERLINK(IF($G$1="เปิด", "#'ปกติ'!" &amp; ADDRESS(ROW(ปกติ!L56), COLUMN(ปกติ!L56), 4), ""), ปกติ!L56)</f>
        <v>0</v>
      </c>
      <c r="F15" s="183">
        <f>HYPERLINK(IF($G$1="เปิด", "#'ปกติ'!" &amp; ADDRESS(ROW(ปกติ!P56), COLUMN(ปกติ!P56), 4), ""), ปกติ!P56)</f>
        <v>187.06</v>
      </c>
      <c r="G15" s="221">
        <f>SUM(F15:F16)</f>
        <v>192.06</v>
      </c>
    </row>
    <row r="16" spans="1:7" ht="21" customHeight="1" x14ac:dyDescent="0.35">
      <c r="A16" s="192" t="str">
        <f>HYPERLINK(IF('รวมปกติ+พิเศษ'!$L$1="เปิด", "#'รวมปกติ+พิเศษ'!A" &amp; MATCH("คณะภูมิสารสนเทศศาสตร์", 'รวมปกติ+พิเศษ'!A:A, 0), "#A"&amp;ROW()), IF('รวมปกติ+พิเศษ'!$L$1="เปิด", "กลับรวมปกติ+พิเศษ", ""))</f>
        <v/>
      </c>
      <c r="B16" s="191" t="s">
        <v>97</v>
      </c>
      <c r="C16" s="218">
        <f>HYPERLINK(IF($G$1="เปิด", "#'ปกติ'!" &amp; ADDRESS(ROW(ปกติ!E57), COLUMN(ปกติ!E57), 4) &amp; ":" &amp; ADDRESS(ROW(ปกติ!E58), COLUMN(ปกติ!E58), 4), ""), SUM(ปกติ!E57:E58))</f>
        <v>0</v>
      </c>
      <c r="D16" s="218">
        <f>HYPERLINK(IF($G$1="เปิด", "#'ปกติ'!" &amp; ADDRESS(ROW(ปกติ!I57), COLUMN(ปกติ!I57), 4) &amp; ":" &amp; ADDRESS(ROW(ปกติ!I58), COLUMN(ปกติ!I58), 4), ""), SUM(ปกติ!I57:I58))</f>
        <v>10</v>
      </c>
      <c r="E16" s="218">
        <f>HYPERLINK(IF($G$1="เปิด", "#'ปกติ'!" &amp; ADDRESS(ROW(ปกติ!M57), COLUMN(ปกติ!M57), 4) &amp; ":" &amp; ADDRESS(ROW(ปกติ!M58), COLUMN(ปกติ!M58), 4), ""), SUM(ปกติ!M57:M58))</f>
        <v>0</v>
      </c>
      <c r="F16" s="219">
        <f>HYPERLINK(IF($G$1="เปิด", "#'ปกติ'!" &amp; ADDRESS(ROW(ปกติ!Q57), COLUMN(ปกติ!Q57), 4) &amp; ":" &amp; ADDRESS(ROW(ปกติ!Q58), COLUMN(ปกติ!Q58), 4), ""), SUM(ปกติ!Q57:Q58))</f>
        <v>5</v>
      </c>
      <c r="G16" s="220"/>
    </row>
    <row r="17" spans="1:7" ht="21" customHeight="1" x14ac:dyDescent="0.35">
      <c r="A17" s="5" t="str">
        <f>HYPERLINK(IF($G$1="เปิด", "#ปกติ!A" &amp; MATCH("คณะเภสัชศาสตร์", ปกติ!A:A, 0), ""), IF($G$1="เปิด", "คณะเภสัชศาสตร์ (ไปชีทปกติ)", "คณะเภสัชศาสตร์"))</f>
        <v>คณะเภสัชศาสตร์</v>
      </c>
      <c r="B17" s="5" t="s">
        <v>8</v>
      </c>
      <c r="C17" s="121">
        <f>HYPERLINK(IF($G$1="เปิด", "#'ปกติ'!" &amp; ADDRESS(ROW(ปกติ!D60), COLUMN(ปกติ!D60), 4), ""), ปกติ!D60)</f>
        <v>1079.5899999999999</v>
      </c>
      <c r="D17" s="121">
        <f>HYPERLINK(IF($G$1="เปิด", "#'ปกติ'!" &amp; ADDRESS(ROW(ปกติ!H60), COLUMN(ปกติ!H60), 4), ""), ปกติ!H60)</f>
        <v>1104.17</v>
      </c>
      <c r="E17" s="121">
        <f>HYPERLINK(IF($G$1="เปิด", "#'ปกติ'!" &amp; ADDRESS(ROW(ปกติ!L60), COLUMN(ปกติ!L60), 4), ""), ปกติ!L60)</f>
        <v>59.06</v>
      </c>
      <c r="F17" s="183">
        <f>HYPERLINK(IF($G$1="เปิด", "#'ปกติ'!" &amp; ADDRESS(ROW(ปกติ!P60), COLUMN(ปกติ!P60), 4), ""), ปกติ!P60)</f>
        <v>1121.4100000000001</v>
      </c>
      <c r="G17" s="221">
        <f>SUM(F17:F18)</f>
        <v>1124.24</v>
      </c>
    </row>
    <row r="18" spans="1:7" ht="21" customHeight="1" x14ac:dyDescent="0.35">
      <c r="A18" s="192" t="str">
        <f>HYPERLINK(IF('รวมปกติ+พิเศษ'!$L$1="เปิด", "#'รวมปกติ+พิเศษ'!A" &amp; MATCH("คณะเภสัชศาสตร์", 'รวมปกติ+พิเศษ'!A:A, 0), "#A"&amp;ROW()), IF('รวมปกติ+พิเศษ'!$L$1="เปิด", "กลับรวมปกติ+พิเศษ", ""))</f>
        <v/>
      </c>
      <c r="B18" s="191" t="s">
        <v>97</v>
      </c>
      <c r="C18" s="218">
        <f>HYPERLINK(IF($G$1="เปิด", "#'ปกติ'!" &amp; ADDRESS(ROW(ปกติ!E61), COLUMN(ปกติ!E61), 4) &amp; ":" &amp; ADDRESS(ROW(ปกติ!E62), COLUMN(ปกติ!E62), 4), ""), SUM(ปกติ!E61:E62))</f>
        <v>3.25</v>
      </c>
      <c r="D18" s="218">
        <f>HYPERLINK(IF($G$1="เปิด", "#'ปกติ'!" &amp; ADDRESS(ROW(ปกติ!I61), COLUMN(ปกติ!I61), 4) &amp; ":" &amp; ADDRESS(ROW(ปกติ!I62), COLUMN(ปกติ!I62), 4), ""), SUM(ปกติ!I61:I62))</f>
        <v>2.42</v>
      </c>
      <c r="E18" s="218">
        <f>HYPERLINK(IF($G$1="เปิด", "#'ปกติ'!" &amp; ADDRESS(ROW(ปกติ!M61), COLUMN(ปกติ!M61), 4) &amp; ":" &amp; ADDRESS(ROW(ปกติ!M62), COLUMN(ปกติ!M62), 4), ""), SUM(ปกติ!M61:M62))</f>
        <v>0</v>
      </c>
      <c r="F18" s="219">
        <f>HYPERLINK(IF($G$1="เปิด", "#'ปกติ'!" &amp; ADDRESS(ROW(ปกติ!Q61), COLUMN(ปกติ!Q61), 4) &amp; ":" &amp; ADDRESS(ROW(ปกติ!Q62), COLUMN(ปกติ!Q62), 4), ""), SUM(ปกติ!Q61:Q62))</f>
        <v>2.83</v>
      </c>
      <c r="G18" s="220"/>
    </row>
    <row r="19" spans="1:7" ht="21" customHeight="1" x14ac:dyDescent="0.35">
      <c r="A19" s="5" t="str">
        <f>HYPERLINK(IF($G$1="เปิด", "#ปกติ!A" &amp; MATCH("คณะมนุษยศาสตร์และสังคมศาสตร์", ปกติ!A:A, 0), ""), IF($G$1="เปิด", "คณะมนุษยศาสตร์และสังคมศาสตร์ (ไปชีทปกติ)", "คณะมนุษยศาสตร์และสังคมศาสตร์"))</f>
        <v>คณะมนุษยศาสตร์และสังคมศาสตร์</v>
      </c>
      <c r="B19" s="5" t="s">
        <v>8</v>
      </c>
      <c r="C19" s="121">
        <f>HYPERLINK(IF($G$1="เปิด", "#'ปกติ'!" &amp; ADDRESS(ROW(ปกติ!D100), COLUMN(ปกติ!D100), 4), ""), ปกติ!D100)</f>
        <v>2946.56</v>
      </c>
      <c r="D19" s="121">
        <f>HYPERLINK(IF($G$1="เปิด", "#'ปกติ'!" &amp; ADDRESS(ROW(ปกติ!H100), COLUMN(ปกติ!H100), 4), ""), ปกติ!H100)</f>
        <v>2989.06</v>
      </c>
      <c r="E19" s="121">
        <f>HYPERLINK(IF($G$1="เปิด", "#'ปกติ'!" &amp; ADDRESS(ROW(ปกติ!L100), COLUMN(ปกติ!L100), 4), ""), ปกติ!L100)</f>
        <v>18.170000000000002</v>
      </c>
      <c r="F19" s="183">
        <f>HYPERLINK(IF($G$1="เปิด", "#'ปกติ'!" &amp; ADDRESS(ROW(ปกติ!P100), COLUMN(ปกติ!P100), 4), ""), ปกติ!P100)</f>
        <v>2976.89</v>
      </c>
      <c r="G19" s="221">
        <f>SUM(F19:F20)</f>
        <v>2989.2739999999999</v>
      </c>
    </row>
    <row r="20" spans="1:7" ht="21" customHeight="1" x14ac:dyDescent="0.35">
      <c r="A20" s="192" t="str">
        <f>HYPERLINK(IF('รวมปกติ+พิเศษ'!$L$1="เปิด", "#'รวมปกติ+พิเศษ'!A" &amp; MATCH("คณะมนุษยศาสตร์และสังคมศาสตร์", 'รวมปกติ+พิเศษ'!A:A, 0), "#A"&amp;ROW()), IF('รวมปกติ+พิเศษ'!$L$1="เปิด", "กลับรวมปกติ+พิเศษ", ""))</f>
        <v/>
      </c>
      <c r="B20" s="191" t="s">
        <v>97</v>
      </c>
      <c r="C20" s="218">
        <f>HYPERLINK(IF($G$1="เปิด", "#'ปกติ'!" &amp; ADDRESS(ROW(ปกติ!E101), COLUMN(ปกติ!E101), 4) &amp; ":" &amp; ADDRESS(ROW(ปกติ!E102), COLUMN(ปกติ!E102), 4), ""), SUM(ปกติ!E101:E102))</f>
        <v>10.35</v>
      </c>
      <c r="D20" s="218">
        <f>HYPERLINK(IF($G$1="เปิด", "#'ปกติ'!" &amp; ADDRESS(ROW(ปกติ!I101), COLUMN(ปกติ!I101), 4) &amp; ":" &amp; ADDRESS(ROW(ปกติ!I102), COLUMN(ปกติ!I102), 4), ""), SUM(ปกติ!I101:I102))</f>
        <v>14.4</v>
      </c>
      <c r="E20" s="218">
        <f>HYPERLINK(IF($G$1="เปิด", "#'ปกติ'!" &amp; ADDRESS(ROW(ปกติ!M101), COLUMN(ปกติ!M101), 4) &amp; ":" &amp; ADDRESS(ROW(ปกติ!M102), COLUMN(ปกติ!M102), 4), ""), SUM(ปกติ!M101:M102))</f>
        <v>0</v>
      </c>
      <c r="F20" s="219">
        <f>HYPERLINK(IF($G$1="เปิด", "#'ปกติ'!" &amp; ADDRESS(ROW(ปกติ!Q101), COLUMN(ปกติ!Q101), 4) &amp; ":" &amp; ADDRESS(ROW(ปกติ!Q102), COLUMN(ปกติ!Q102), 4), ""), SUM(ปกติ!Q101:Q102))</f>
        <v>12.384</v>
      </c>
      <c r="G20" s="220"/>
    </row>
    <row r="21" spans="1:7" ht="21" customHeight="1" x14ac:dyDescent="0.35">
      <c r="A21" s="5" t="str">
        <f>HYPERLINK(IF($G$1="เปิด", "#ปกติ!A" &amp; MATCH("คณะรัฐศาสตร์และนิติศาสตร์", ปกติ!A:A, 0), ""), IF($G$1="เปิด", "คณะรัฐศาสตร์และนิติศาสตร์ (ไปชีทปกติ)", "คณะรัฐศาสตร์และนิติศาสตร์"))</f>
        <v>คณะรัฐศาสตร์และนิติศาสตร์</v>
      </c>
      <c r="B21" s="5" t="s">
        <v>8</v>
      </c>
      <c r="C21" s="121">
        <f>HYPERLINK(IF($G$1="เปิด", "#'ปกติ'!" &amp; ADDRESS(ROW(ปกติ!D113), COLUMN(ปกติ!D113), 4), ""), ปกติ!D113)</f>
        <v>1403.62</v>
      </c>
      <c r="D21" s="121">
        <f>HYPERLINK(IF($G$1="เปิด", "#'ปกติ'!" &amp; ADDRESS(ROW(ปกติ!H113), COLUMN(ปกติ!H113), 4), ""), ปกติ!H113)</f>
        <v>944.33</v>
      </c>
      <c r="E21" s="121">
        <f>HYPERLINK(IF($G$1="เปิด", "#'ปกติ'!" &amp; ADDRESS(ROW(ปกติ!L113), COLUMN(ปกติ!L113), 4), ""), ปกติ!L113)</f>
        <v>0</v>
      </c>
      <c r="F21" s="183">
        <f>HYPERLINK(IF($G$1="เปิด", "#'ปกติ'!" &amp; ADDRESS(ROW(ปกติ!P113), COLUMN(ปกติ!P113), 4), ""), ปกติ!P113)</f>
        <v>1173.98</v>
      </c>
      <c r="G21" s="221">
        <f>SUM(F21:F22)</f>
        <v>1215.614</v>
      </c>
    </row>
    <row r="22" spans="1:7" ht="21" customHeight="1" x14ac:dyDescent="0.35">
      <c r="A22" s="192" t="str">
        <f>HYPERLINK(IF('รวมปกติ+พิเศษ'!$L$1="เปิด", "#'รวมปกติ+พิเศษ'!A" &amp; MATCH("คณะรัฐศาสตร์และนิติศาสตร์", 'รวมปกติ+พิเศษ'!A:A, 0), "#A"&amp;ROW()), IF('รวมปกติ+พิเศษ'!$L$1="เปิด", "กลับรวมปกติ+พิเศษ", ""))</f>
        <v/>
      </c>
      <c r="B22" s="191" t="s">
        <v>97</v>
      </c>
      <c r="C22" s="218">
        <f>HYPERLINK(IF($G$1="เปิด", "#'ปกติ'!" &amp; ADDRESS(ROW(ปกติ!E114), COLUMN(ปกติ!E114), 4) &amp; ":" &amp; ADDRESS(ROW(ปกติ!E115), COLUMN(ปกติ!E115), 4), ""), SUM(ปกติ!E114:E115))</f>
        <v>45.45</v>
      </c>
      <c r="D22" s="218">
        <f>HYPERLINK(IF($G$1="เปิด", "#'ปกติ'!" &amp; ADDRESS(ROW(ปกติ!I114), COLUMN(ปกติ!I114), 4) &amp; ":" &amp; ADDRESS(ROW(ปกติ!I115), COLUMN(ปกติ!I115), 4), ""), SUM(ปกติ!I114:I115))</f>
        <v>37.800000000000004</v>
      </c>
      <c r="E22" s="218">
        <f>HYPERLINK(IF($G$1="เปิด", "#'ปกติ'!" &amp; ADDRESS(ROW(ปกติ!M114), COLUMN(ปกติ!M114), 4) &amp; ":" &amp; ADDRESS(ROW(ปกติ!M115), COLUMN(ปกติ!M115), 4), ""), SUM(ปกติ!M114:M115))</f>
        <v>0</v>
      </c>
      <c r="F22" s="219">
        <f>HYPERLINK(IF($G$1="เปิด", "#'ปกติ'!" &amp; ADDRESS(ROW(ปกติ!Q114), COLUMN(ปกติ!Q114), 4) &amp; ":" &amp; ADDRESS(ROW(ปกติ!Q115), COLUMN(ปกติ!Q115), 4), ""), SUM(ปกติ!Q114:Q115))</f>
        <v>41.634</v>
      </c>
      <c r="G22" s="220"/>
    </row>
    <row r="23" spans="1:7" ht="21" customHeight="1" x14ac:dyDescent="0.35">
      <c r="A23" s="5" t="str">
        <f>HYPERLINK(IF($G$1="เปิด", "#ปกติ!A" &amp; MATCH("คณะโลจิสติกส์", ปกติ!A:A, 0), ""), IF($G$1="เปิด", "คณะโลจิสติกส์ (ไปชีทปกติ)", "คณะโลจิสติกส์"))</f>
        <v>คณะโลจิสติกส์</v>
      </c>
      <c r="B23" s="5" t="s">
        <v>8</v>
      </c>
      <c r="C23" s="121">
        <f>HYPERLINK(IF($G$1="เปิด", "#'ปกติ'!" &amp; ADDRESS(ROW(ปกติ!D117), COLUMN(ปกติ!D117), 4), ""), ปกติ!D117)</f>
        <v>1162.06</v>
      </c>
      <c r="D23" s="121">
        <f>HYPERLINK(IF($G$1="เปิด", "#'ปกติ'!" &amp; ADDRESS(ROW(ปกติ!H117), COLUMN(ปกติ!H117), 4), ""), ปกติ!H117)</f>
        <v>994.94</v>
      </c>
      <c r="E23" s="121">
        <f>HYPERLINK(IF($G$1="เปิด", "#'ปกติ'!" &amp; ADDRESS(ROW(ปกติ!L117), COLUMN(ปกติ!L117), 4), ""), ปกติ!L117)</f>
        <v>39.78</v>
      </c>
      <c r="F23" s="183">
        <f>HYPERLINK(IF($G$1="เปิด", "#'ปกติ'!" &amp; ADDRESS(ROW(ปกติ!P117), COLUMN(ปกติ!P117), 4), ""), ปกติ!P117)</f>
        <v>1098.3900000000001</v>
      </c>
      <c r="G23" s="221">
        <f>SUM(F23:F24)</f>
        <v>1111.23</v>
      </c>
    </row>
    <row r="24" spans="1:7" ht="21" customHeight="1" x14ac:dyDescent="0.35">
      <c r="A24" s="192" t="str">
        <f>HYPERLINK(IF('รวมปกติ+พิเศษ'!$L$1="เปิด", "#'รวมปกติ+พิเศษ'!A" &amp; MATCH("คณะโลจิสติกส์", 'รวมปกติ+พิเศษ'!A:A, 0), "#A"&amp;ROW()), IF('รวมปกติ+พิเศษ'!$L$1="เปิด", "กลับรวมปกติ+พิเศษ", ""))</f>
        <v/>
      </c>
      <c r="B24" s="191" t="s">
        <v>97</v>
      </c>
      <c r="C24" s="218">
        <f>HYPERLINK(IF($G$1="เปิด", "#'ปกติ'!" &amp; ADDRESS(ROW(ปกติ!E118), COLUMN(ปกติ!E118), 4) &amp; ":" &amp; ADDRESS(ROW(ปกติ!E119), COLUMN(ปกติ!E119), 4), ""), SUM(ปกติ!E118:E119))</f>
        <v>14</v>
      </c>
      <c r="D24" s="218">
        <f>HYPERLINK(IF($G$1="เปิด", "#'ปกติ'!" &amp; ADDRESS(ROW(ปกติ!I118), COLUMN(ปกติ!I118), 4) &amp; ":" &amp; ADDRESS(ROW(ปกติ!I119), COLUMN(ปกติ!I119), 4), ""), SUM(ปกติ!I118:I119))</f>
        <v>11.16</v>
      </c>
      <c r="E24" s="218">
        <f>HYPERLINK(IF($G$1="เปิด", "#'ปกติ'!" &amp; ADDRESS(ROW(ปกติ!M118), COLUMN(ปกติ!M118), 4) &amp; ":" &amp; ADDRESS(ROW(ปกติ!M119), COLUMN(ปกติ!M119), 4), ""), SUM(ปกติ!M118:M119))</f>
        <v>0.5</v>
      </c>
      <c r="F24" s="219">
        <f>HYPERLINK(IF($G$1="เปิด", "#'ปกติ'!" &amp; ADDRESS(ROW(ปกติ!Q118), COLUMN(ปกติ!Q118), 4) &amp; ":" &amp; ADDRESS(ROW(ปกติ!Q119), COLUMN(ปกติ!Q119), 4), ""), SUM(ปกติ!Q118:Q119))</f>
        <v>12.84</v>
      </c>
      <c r="G24" s="220"/>
    </row>
    <row r="25" spans="1:7" ht="21" customHeight="1" x14ac:dyDescent="0.35">
      <c r="A25" s="5" t="str">
        <f>HYPERLINK(IF($G$1="เปิด", "#ปกติ!A" &amp; MATCH("คณะวิทยาการสารสนเทศ", ปกติ!A:A, 0), ""), IF($G$1="เปิด", "คณะวิทยาการสารสนเทศ (ไปชีทปกติ)", "คณะวิทยาการสารสนเทศ"))</f>
        <v>คณะวิทยาการสารสนเทศ</v>
      </c>
      <c r="B25" s="5" t="s">
        <v>8</v>
      </c>
      <c r="C25" s="121">
        <f>HYPERLINK(IF($G$1="เปิด", "#'ปกติ'!" &amp; ADDRESS(ROW(ปกติ!D121), COLUMN(ปกติ!D121), 4), ""), ปกติ!D121)</f>
        <v>999.94</v>
      </c>
      <c r="D25" s="121">
        <f>HYPERLINK(IF($G$1="เปิด", "#'ปกติ'!" &amp; ADDRESS(ROW(ปกติ!H121), COLUMN(ปกติ!H121), 4), ""), ปกติ!H121)</f>
        <v>1039.17</v>
      </c>
      <c r="E25" s="121">
        <f>HYPERLINK(IF($G$1="เปิด", "#'ปกติ'!" &amp; ADDRESS(ROW(ปกติ!L121), COLUMN(ปกติ!L121), 4), ""), ปกติ!L121)</f>
        <v>13.33</v>
      </c>
      <c r="F25" s="183">
        <f>HYPERLINK(IF($G$1="เปิด", "#'ปกติ'!" &amp; ADDRESS(ROW(ปกติ!P121), COLUMN(ปกติ!P121), 4), ""), ปกติ!P121)</f>
        <v>1026.22</v>
      </c>
      <c r="G25" s="221">
        <f>SUM(F25:F26)</f>
        <v>1059.82</v>
      </c>
    </row>
    <row r="26" spans="1:7" ht="21" customHeight="1" x14ac:dyDescent="0.35">
      <c r="A26" s="192" t="str">
        <f>HYPERLINK(IF('รวมปกติ+พิเศษ'!$L$1="เปิด", "#'รวมปกติ+พิเศษ'!A" &amp; MATCH("คณะวิทยาการสารสนเทศ", 'รวมปกติ+พิเศษ'!A:A, 0), "#A"&amp;ROW()), IF('รวมปกติ+พิเศษ'!$L$1="เปิด", "กลับรวมปกติ+พิเศษ", ""))</f>
        <v/>
      </c>
      <c r="B26" s="191" t="s">
        <v>97</v>
      </c>
      <c r="C26" s="218">
        <f>HYPERLINK(IF($G$1="เปิด", "#'ปกติ'!" &amp; ADDRESS(ROW(ปกติ!E122), COLUMN(ปกติ!E122), 4) &amp; ":" &amp; ADDRESS(ROW(ปกติ!E123), COLUMN(ปกติ!E123), 4), ""), SUM(ปกติ!E122:E123))</f>
        <v>30</v>
      </c>
      <c r="D26" s="218">
        <f>HYPERLINK(IF($G$1="เปิด", "#'ปกติ'!" &amp; ADDRESS(ROW(ปกติ!I122), COLUMN(ปกติ!I122), 4) &amp; ":" &amp; ADDRESS(ROW(ปกติ!I123), COLUMN(ปกติ!I123), 4), ""), SUM(ปกติ!I122:I123))</f>
        <v>37.159999999999997</v>
      </c>
      <c r="E26" s="218">
        <f>HYPERLINK(IF($G$1="เปิด", "#'ปกติ'!" &amp; ADDRESS(ROW(ปกติ!M122), COLUMN(ปกติ!M122), 4) &amp; ":" &amp; ADDRESS(ROW(ปกติ!M123), COLUMN(ปกติ!M123), 4), ""), SUM(ปกติ!M122:M123))</f>
        <v>0</v>
      </c>
      <c r="F26" s="219">
        <f>HYPERLINK(IF($G$1="เปิด", "#'ปกติ'!" &amp; ADDRESS(ROW(ปกติ!Q122), COLUMN(ปกติ!Q122), 4) &amp; ":" &amp; ADDRESS(ROW(ปกติ!Q123), COLUMN(ปกติ!Q123), 4), ""), SUM(ปกติ!Q122:Q123))</f>
        <v>33.6</v>
      </c>
      <c r="G26" s="220"/>
    </row>
    <row r="27" spans="1:7" ht="21" customHeight="1" x14ac:dyDescent="0.35">
      <c r="A27" s="5" t="str">
        <f>HYPERLINK(IF($G$1="เปิด", "#ปกติ!A" &amp; MATCH("คณะวิทยาศาสตร์", ปกติ!A:A, 0), ""), IF($G$1="เปิด", "คณะวิทยาศาสตร์ (ไปชีทปกติ)", "คณะวิทยาศาสตร์"))</f>
        <v>คณะวิทยาศาสตร์</v>
      </c>
      <c r="B27" s="5" t="s">
        <v>8</v>
      </c>
      <c r="C27" s="121">
        <f>HYPERLINK(IF($G$1="เปิด", "#'ปกติ'!" &amp; ADDRESS(ROW(ปกติ!D158), COLUMN(ปกติ!D158), 4), ""), ปกติ!D158)</f>
        <v>3108.87</v>
      </c>
      <c r="D27" s="121">
        <f>HYPERLINK(IF($G$1="เปิด", "#'ปกติ'!" &amp; ADDRESS(ROW(ปกติ!H158), COLUMN(ปกติ!H158), 4), ""), ปกติ!H158)</f>
        <v>2972.72</v>
      </c>
      <c r="E27" s="121">
        <f>HYPERLINK(IF($G$1="เปิด", "#'ปกติ'!" &amp; ADDRESS(ROW(ปกติ!L158), COLUMN(ปกติ!L158), 4), ""), ปกติ!L158)</f>
        <v>28.78</v>
      </c>
      <c r="F27" s="183">
        <f>HYPERLINK(IF($G$1="เปิด", "#'ปกติ'!" &amp; ADDRESS(ROW(ปกติ!P158), COLUMN(ปกติ!P158), 4), ""), ปกติ!P158)</f>
        <v>3055.18</v>
      </c>
      <c r="G27" s="221">
        <f>SUM(F27:F28)</f>
        <v>3117.2799999999997</v>
      </c>
    </row>
    <row r="28" spans="1:7" ht="21" customHeight="1" x14ac:dyDescent="0.35">
      <c r="A28" s="192" t="str">
        <f>HYPERLINK(IF('รวมปกติ+พิเศษ'!$L$1="เปิด", "#'รวมปกติ+พิเศษ'!A" &amp; MATCH("คณะวิทยาศาสตร์", 'รวมปกติ+พิเศษ'!A:A, 0), "#A"&amp;ROW()), IF('รวมปกติ+พิเศษ'!$L$1="เปิด", "กลับรวมปกติ+พิเศษ", ""))</f>
        <v/>
      </c>
      <c r="B28" s="191" t="s">
        <v>97</v>
      </c>
      <c r="C28" s="218">
        <f>HYPERLINK(IF($G$1="เปิด", "#'ปกติ'!" &amp; ADDRESS(ROW(ปกติ!E159), COLUMN(ปกติ!E159), 4) &amp; ":" &amp; ADDRESS(ROW(ปกติ!E160), COLUMN(ปกติ!E160), 4), ""), SUM(ปกติ!E159:E160))</f>
        <v>65.319999999999993</v>
      </c>
      <c r="D28" s="218">
        <f>HYPERLINK(IF($G$1="เปิด", "#'ปกติ'!" &amp; ADDRESS(ROW(ปกติ!I159), COLUMN(ปกติ!I159), 4) &amp; ":" &amp; ADDRESS(ROW(ปกติ!I160), COLUMN(ปกติ!I160), 4), ""), SUM(ปกติ!I159:I160))</f>
        <v>58.84</v>
      </c>
      <c r="E28" s="218">
        <f>HYPERLINK(IF($G$1="เปิด", "#'ปกติ'!" &amp; ADDRESS(ROW(ปกติ!M159), COLUMN(ปกติ!M159), 4) &amp; ":" &amp; ADDRESS(ROW(ปกติ!M160), COLUMN(ปกติ!M160), 4), ""), SUM(ปกติ!M159:M160))</f>
        <v>0</v>
      </c>
      <c r="F28" s="219">
        <f>HYPERLINK(IF($G$1="เปิด", "#'ปกติ'!" &amp; ADDRESS(ROW(ปกติ!Q159), COLUMN(ปกติ!Q159), 4) &amp; ":" &amp; ADDRESS(ROW(ปกติ!Q160), COLUMN(ปกติ!Q160), 4), ""), SUM(ปกติ!Q159:Q160))</f>
        <v>62.099999999999994</v>
      </c>
      <c r="G28" s="220"/>
    </row>
    <row r="29" spans="1:7" ht="21" customHeight="1" x14ac:dyDescent="0.35">
      <c r="A29" s="5" t="str">
        <f>HYPERLINK(IF($G$1="เปิด", "#ปกติ!A" &amp; MATCH("คณะวิทยาศาสตร์การกีฬา", ปกติ!A:A, 0), ""), IF($G$1="เปิด", "คณะวิทยาศาสตร์การกีฬา (ไปชีทปกติ)", "คณะวิทยาศาสตร์การกีฬา"))</f>
        <v>คณะวิทยาศาสตร์การกีฬา</v>
      </c>
      <c r="B29" s="5" t="s">
        <v>8</v>
      </c>
      <c r="C29" s="121">
        <f>HYPERLINK(IF($G$1="เปิด", "#'ปกติ'!" &amp; ADDRESS(ROW(ปกติ!D162), COLUMN(ปกติ!D162), 4), ""), ปกติ!D162)</f>
        <v>713.36</v>
      </c>
      <c r="D29" s="121">
        <f>HYPERLINK(IF($G$1="เปิด", "#'ปกติ'!" &amp; ADDRESS(ROW(ปกติ!H162), COLUMN(ปกติ!H162), 4), ""), ปกติ!H162)</f>
        <v>508.28</v>
      </c>
      <c r="E29" s="121">
        <f>HYPERLINK(IF($G$1="เปิด", "#'ปกติ'!" &amp; ADDRESS(ROW(ปกติ!L162), COLUMN(ปกติ!L162), 4), ""), ปกติ!L162)</f>
        <v>0</v>
      </c>
      <c r="F29" s="183">
        <f>HYPERLINK(IF($G$1="เปิด", "#'ปกติ'!" &amp; ADDRESS(ROW(ปกติ!P162), COLUMN(ปกติ!P162), 4), ""), ปกติ!P162)</f>
        <v>610.82000000000005</v>
      </c>
      <c r="G29" s="221">
        <f>SUM(F29:F30)</f>
        <v>624.28000000000009</v>
      </c>
    </row>
    <row r="30" spans="1:7" ht="21" customHeight="1" x14ac:dyDescent="0.35">
      <c r="A30" s="192" t="str">
        <f>HYPERLINK(IF('รวมปกติ+พิเศษ'!$L$1="เปิด", "#'รวมปกติ+พิเศษ'!A" &amp; MATCH("คณะวิทยาศาสตร์การกีฬา", 'รวมปกติ+พิเศษ'!A:A, 0), "#A"&amp;ROW()), IF('รวมปกติ+พิเศษ'!$L$1="เปิด", "กลับรวมปกติ+พิเศษ", ""))</f>
        <v/>
      </c>
      <c r="B30" s="191" t="s">
        <v>97</v>
      </c>
      <c r="C30" s="218">
        <f>HYPERLINK(IF($G$1="เปิด", "#'ปกติ'!" &amp; ADDRESS(ROW(ปกติ!E163), COLUMN(ปกติ!E163), 4) &amp; ":" &amp; ADDRESS(ROW(ปกติ!E164), COLUMN(ปกติ!E164), 4), ""), SUM(ปกติ!E163:E164))</f>
        <v>10.92</v>
      </c>
      <c r="D30" s="218">
        <f>HYPERLINK(IF($G$1="เปิด", "#'ปกติ'!" &amp; ADDRESS(ROW(ปกติ!I163), COLUMN(ปกติ!I163), 4) &amp; ":" &amp; ADDRESS(ROW(ปกติ!I164), COLUMN(ปกติ!I164), 4), ""), SUM(ปกติ!I163:I164))</f>
        <v>16</v>
      </c>
      <c r="E30" s="218">
        <f>HYPERLINK(IF($G$1="เปิด", "#'ปกติ'!" &amp; ADDRESS(ROW(ปกติ!M163), COLUMN(ปกติ!M163), 4) &amp; ":" &amp; ADDRESS(ROW(ปกติ!M164), COLUMN(ปกติ!M164), 4), ""), SUM(ปกติ!M163:M164))</f>
        <v>0</v>
      </c>
      <c r="F30" s="219">
        <f>HYPERLINK(IF($G$1="เปิด", "#'ปกติ'!" &amp; ADDRESS(ROW(ปกติ!Q163), COLUMN(ปกติ!Q163), 4) &amp; ":" &amp; ADDRESS(ROW(ปกติ!Q164), COLUMN(ปกติ!Q164), 4), ""), SUM(ปกติ!Q163:Q164))</f>
        <v>13.46</v>
      </c>
      <c r="G30" s="220"/>
    </row>
    <row r="31" spans="1:7" ht="21" customHeight="1" x14ac:dyDescent="0.35">
      <c r="A31" s="5" t="str">
        <f>HYPERLINK(IF($G$1="เปิด", "#ปกติ!A" &amp; MATCH("คณะวิศวกรรมศาสตร์", ปกติ!A:A, 0), ""), IF($G$1="เปิด", "คณะวิศวกรรมศาสตร์ (ไปชีทปกติ)", "คณะวิศวกรรมศาสตร์"))</f>
        <v>คณะวิศวกรรมศาสตร์</v>
      </c>
      <c r="B31" s="5" t="s">
        <v>8</v>
      </c>
      <c r="C31" s="121">
        <f>HYPERLINK(IF($G$1="เปิด", "#'ปกติ'!" &amp; ADDRESS(ROW(ปกติ!D184), COLUMN(ปกติ!D184), 4), ""), ปกติ!D184)</f>
        <v>1623</v>
      </c>
      <c r="D31" s="121">
        <f>HYPERLINK(IF($G$1="เปิด", "#'ปกติ'!" &amp; ADDRESS(ROW(ปกติ!H184), COLUMN(ปกติ!H184), 4), ""), ปกติ!H184)</f>
        <v>1706.06</v>
      </c>
      <c r="E31" s="121">
        <f>HYPERLINK(IF($G$1="เปิด", "#'ปกติ'!" &amp; ADDRESS(ROW(ปกติ!L184), COLUMN(ปกติ!L184), 4), ""), ปกติ!L184)</f>
        <v>71.89</v>
      </c>
      <c r="F31" s="183">
        <f>HYPERLINK(IF($G$1="เปิด", "#'ปกติ'!" &amp; ADDRESS(ROW(ปกติ!P184), COLUMN(ปกติ!P184), 4), ""), ปกติ!P184)</f>
        <v>1700.47</v>
      </c>
      <c r="G31" s="221">
        <f>SUM(F31:F32)</f>
        <v>1753.47</v>
      </c>
    </row>
    <row r="32" spans="1:7" ht="21" customHeight="1" x14ac:dyDescent="0.35">
      <c r="A32" s="192" t="str">
        <f>HYPERLINK(IF('รวมปกติ+พิเศษ'!$L$1="เปิด", "#'รวมปกติ+พิเศษ'!A" &amp; MATCH("คณะวิศวกรรมศาสตร์", 'รวมปกติ+พิเศษ'!A:A, 0), "#A"&amp;ROW()), IF('รวมปกติ+พิเศษ'!$L$1="เปิด", "กลับรวมปกติ+พิเศษ", ""))</f>
        <v/>
      </c>
      <c r="B32" s="191" t="s">
        <v>97</v>
      </c>
      <c r="C32" s="218">
        <f>HYPERLINK(IF($G$1="เปิด", "#'ปกติ'!" &amp; ADDRESS(ROW(ปกติ!E185), COLUMN(ปกติ!E185), 4) &amp; ":" &amp; ADDRESS(ROW(ปกติ!E186), COLUMN(ปกติ!E186), 4), ""), SUM(ปกติ!E185:E186))</f>
        <v>57.819999999999993</v>
      </c>
      <c r="D32" s="218">
        <f>HYPERLINK(IF($G$1="เปิด", "#'ปกติ'!" &amp; ADDRESS(ROW(ปกติ!I185), COLUMN(ปกติ!I185), 4) &amp; ":" &amp; ADDRESS(ROW(ปกติ!I186), COLUMN(ปกติ!I186), 4), ""), SUM(ปกติ!I185:I186))</f>
        <v>48.16</v>
      </c>
      <c r="E32" s="218">
        <f>HYPERLINK(IF($G$1="เปิด", "#'ปกติ'!" &amp; ADDRESS(ROW(ปกติ!M185), COLUMN(ปกติ!M185), 4) &amp; ":" &amp; ADDRESS(ROW(ปกติ!M186), COLUMN(ปกติ!M186), 4), ""), SUM(ปกติ!M185:M186))</f>
        <v>0</v>
      </c>
      <c r="F32" s="219">
        <f>HYPERLINK(IF($G$1="เปิด", "#'ปกติ'!" &amp; ADDRESS(ROW(ปกติ!Q185), COLUMN(ปกติ!Q185), 4) &amp; ":" &amp; ADDRESS(ROW(ปกติ!Q186), COLUMN(ปกติ!Q186), 4), ""), SUM(ปกติ!Q185:Q186))</f>
        <v>53</v>
      </c>
      <c r="G32" s="220"/>
    </row>
    <row r="33" spans="1:7" ht="21" customHeight="1" x14ac:dyDescent="0.35">
      <c r="A33" s="5" t="str">
        <f>HYPERLINK(IF($G$1="เปิด", "#ปกติ!A" &amp; MATCH("คณะศิลปกรรมศาสตร์", ปกติ!A:A, 0), ""), IF($G$1="เปิด", "คณะศิลปกรรมศาสตร์ (ไปชีทปกติ)", "คณะศิลปกรรมศาสตร์"))</f>
        <v>คณะศิลปกรรมศาสตร์</v>
      </c>
      <c r="B33" s="5" t="s">
        <v>8</v>
      </c>
      <c r="C33" s="121">
        <f>HYPERLINK(IF($G$1="เปิด", "#'ปกติ'!" &amp; ADDRESS(ROW(ปกติ!D188), COLUMN(ปกติ!D188), 4), ""), ปกติ!D188)</f>
        <v>443.73</v>
      </c>
      <c r="D33" s="121">
        <f>HYPERLINK(IF($G$1="เปิด", "#'ปกติ'!" &amp; ADDRESS(ROW(ปกติ!H188), COLUMN(ปกติ!H188), 4), ""), ปกติ!H188)</f>
        <v>451.39</v>
      </c>
      <c r="E33" s="121">
        <f>HYPERLINK(IF($G$1="เปิด", "#'ปกติ'!" &amp; ADDRESS(ROW(ปกติ!L188), COLUMN(ปกติ!L188), 4), ""), ปกติ!L188)</f>
        <v>0</v>
      </c>
      <c r="F33" s="183">
        <f>HYPERLINK(IF($G$1="เปิด", "#'ปกติ'!" &amp; ADDRESS(ROW(ปกติ!P188), COLUMN(ปกติ!P188), 4), ""), ปกติ!P188)</f>
        <v>447.56</v>
      </c>
      <c r="G33" s="221">
        <f>SUM(F33:F34)</f>
        <v>550.62800000000004</v>
      </c>
    </row>
    <row r="34" spans="1:7" ht="21" customHeight="1" x14ac:dyDescent="0.35">
      <c r="A34" s="192" t="str">
        <f>HYPERLINK(IF('รวมปกติ+พิเศษ'!$L$1="เปิด", "#'รวมปกติ+พิเศษ'!A" &amp; MATCH("คณะศิลปกรรมศาสตร์", 'รวมปกติ+พิเศษ'!A:A, 0), "#A"&amp;ROW()), IF('รวมปกติ+พิเศษ'!$L$1="เปิด", "กลับรวมปกติ+พิเศษ", ""))</f>
        <v/>
      </c>
      <c r="B34" s="191" t="s">
        <v>97</v>
      </c>
      <c r="C34" s="218">
        <f>HYPERLINK(IF($G$1="เปิด", "#'ปกติ'!" &amp; ADDRESS(ROW(ปกติ!E189), COLUMN(ปกติ!E189), 4) &amp; ":" &amp; ADDRESS(ROW(ปกติ!E190), COLUMN(ปกติ!E190), 4), ""), SUM(ปกติ!E189:E190))</f>
        <v>86.4</v>
      </c>
      <c r="D34" s="218">
        <f>HYPERLINK(IF($G$1="เปิด", "#'ปกติ'!" &amp; ADDRESS(ROW(ปกติ!I189), COLUMN(ปกติ!I189), 4) &amp; ":" &amp; ADDRESS(ROW(ปกติ!I190), COLUMN(ปกติ!I190), 4), ""), SUM(ปกติ!I189:I190))</f>
        <v>119.7</v>
      </c>
      <c r="E34" s="218">
        <f>HYPERLINK(IF($G$1="เปิด", "#'ปกติ'!" &amp; ADDRESS(ROW(ปกติ!M189), COLUMN(ปกติ!M189), 4) &amp; ":" &amp; ADDRESS(ROW(ปกติ!M190), COLUMN(ปกติ!M190), 4), ""), SUM(ปกติ!M189:M190))</f>
        <v>0</v>
      </c>
      <c r="F34" s="219">
        <f>HYPERLINK(IF($G$1="เปิด", "#'ปกติ'!" &amp; ADDRESS(ROW(ปกติ!Q189), COLUMN(ปกติ!Q189), 4) &amp; ":" &amp; ADDRESS(ROW(ปกติ!Q190), COLUMN(ปกติ!Q190), 4), ""), SUM(ปกติ!Q189:Q190))</f>
        <v>103.06800000000001</v>
      </c>
      <c r="G34" s="220"/>
    </row>
    <row r="35" spans="1:7" ht="21" customHeight="1" x14ac:dyDescent="0.35">
      <c r="A35" s="5" t="str">
        <f>HYPERLINK(IF($G$1="เปิด", "#ปกติ!A" &amp; MATCH("คณะศึกษาศาสตร์", ปกติ!A:A, 0), ""), IF($G$1="เปิด", "คณะศึกษาศาสตร์ (ไปชีทปกติ)", "คณะศึกษาศาสตร์"))</f>
        <v>คณะศึกษาศาสตร์</v>
      </c>
      <c r="B35" s="5" t="s">
        <v>8</v>
      </c>
      <c r="C35" s="121">
        <f>HYPERLINK(IF($G$1="เปิด", "#'ปกติ'!" &amp; ADDRESS(ROW(ปกติ!D220), COLUMN(ปกติ!D220), 4), ""), ปกติ!D220)</f>
        <v>0</v>
      </c>
      <c r="D35" s="121">
        <f>HYPERLINK(IF($G$1="เปิด", "#'ปกติ'!" &amp; ADDRESS(ROW(ปกติ!H220), COLUMN(ปกติ!H220), 4), ""), ปกติ!H220)</f>
        <v>1663.17</v>
      </c>
      <c r="E35" s="121">
        <f>HYPERLINK(IF($G$1="เปิด", "#'ปกติ'!" &amp; ADDRESS(ROW(ปกติ!L220), COLUMN(ปกติ!L220), 4), ""), ปกติ!L220)</f>
        <v>1.89</v>
      </c>
      <c r="F35" s="183">
        <f>HYPERLINK(IF($G$1="เปิด", "#'ปกติ'!" &amp; ADDRESS(ROW(ปกติ!P220), COLUMN(ปกติ!P220), 4), ""), ปกติ!P220)</f>
        <v>832.53</v>
      </c>
      <c r="G35" s="221">
        <f>SUM(F35:F36)</f>
        <v>913.34999999999991</v>
      </c>
    </row>
    <row r="36" spans="1:7" ht="21" customHeight="1" x14ac:dyDescent="0.35">
      <c r="A36" s="192" t="str">
        <f>HYPERLINK(IF('รวมปกติ+พิเศษ'!$L$1="เปิด", "#'รวมปกติ+พิเศษ'!A" &amp; MATCH("คณะศึกษาศาสตร์", 'รวมปกติ+พิเศษ'!A:A, 0), "#A"&amp;ROW()), IF('รวมปกติ+พิเศษ'!$L$1="เปิด", "กลับรวมปกติ+พิเศษ", ""))</f>
        <v/>
      </c>
      <c r="B36" s="191" t="s">
        <v>97</v>
      </c>
      <c r="C36" s="218">
        <f>HYPERLINK(IF($G$1="เปิด", "#'ปกติ'!" &amp; ADDRESS(ROW(ปกติ!E221), COLUMN(ปกติ!E221), 4) &amp; ":" &amp; ADDRESS(ROW(ปกติ!E223), COLUMN(ปกติ!E223), 4), ""), SUM(ปกติ!E221:E223))</f>
        <v>0</v>
      </c>
      <c r="D36" s="218">
        <f>HYPERLINK(IF($G$1="เปิด", "#'ปกติ'!" &amp; ADDRESS(ROW(ปกติ!I221), COLUMN(ปกติ!I221), 4) &amp; ":" &amp; ADDRESS(ROW(ปกติ!I223), COLUMN(ปกติ!I223), 4), ""), SUM(ปกติ!I221:I223))</f>
        <v>144.375</v>
      </c>
      <c r="E36" s="218">
        <f>HYPERLINK(IF($G$1="เปิด", "#'ปกติ'!" &amp; ADDRESS(ROW(ปกติ!M221), COLUMN(ปกติ!M221), 4) &amp; ":" &amp; ADDRESS(ROW(ปกติ!M223), COLUMN(ปกติ!M223), 4), ""), SUM(ปกติ!M221:M223))</f>
        <v>17.25</v>
      </c>
      <c r="F36" s="219">
        <f>HYPERLINK(IF($G$1="เปิด", "#'ปกติ'!" &amp; ADDRESS(ROW(ปกติ!Q221), COLUMN(ปกติ!Q221), 4) &amp; ":" &amp; ADDRESS(ROW(ปกติ!Q223), COLUMN(ปกติ!Q223), 4), ""), SUM(ปกติ!Q221:Q223))</f>
        <v>80.819999999999993</v>
      </c>
      <c r="G36" s="220"/>
    </row>
    <row r="37" spans="1:7" ht="21" customHeight="1" x14ac:dyDescent="0.35">
      <c r="A37" s="5" t="str">
        <f>HYPERLINK(IF($G$1="เปิด", "#ปกติ!A" &amp; MATCH("คณะสหเวชศาสตร์", ปกติ!A:A, 0), ""), IF($G$1="เปิด", "คณะสหเวชศาสตร์ (ไปชีทปกติ)", "คณะสหเวชศาสตร์"))</f>
        <v>คณะสหเวชศาสตร์</v>
      </c>
      <c r="B37" s="5" t="s">
        <v>8</v>
      </c>
      <c r="C37" s="121">
        <f>HYPERLINK(IF($G$1="เปิด", "#'ปกติ'!" &amp; ADDRESS(ROW(ปกติ!D225), COLUMN(ปกติ!D225), 4), ""), ปกติ!D225)</f>
        <v>1021.78</v>
      </c>
      <c r="D37" s="121">
        <f>HYPERLINK(IF($G$1="เปิด", "#'ปกติ'!" &amp; ADDRESS(ROW(ปกติ!H225), COLUMN(ปกติ!H225), 4), ""), ปกติ!H225)</f>
        <v>1038.1099999999999</v>
      </c>
      <c r="E37" s="121">
        <f>HYPERLINK(IF($G$1="เปิด", "#'ปกติ'!" &amp; ADDRESS(ROW(ปกติ!L225), COLUMN(ปกติ!L225), 4), ""), ปกติ!L225)</f>
        <v>14.22</v>
      </c>
      <c r="F37" s="183">
        <f>HYPERLINK(IF($G$1="เปิด", "#'ปกติ'!" &amp; ADDRESS(ROW(ปกติ!P225), COLUMN(ปกติ!P225), 4), ""), ปกติ!P225)</f>
        <v>1037.06</v>
      </c>
      <c r="G37" s="221">
        <f>SUM(F37:F38)</f>
        <v>1057.77</v>
      </c>
    </row>
    <row r="38" spans="1:7" ht="21" customHeight="1" x14ac:dyDescent="0.35">
      <c r="A38" s="192" t="str">
        <f>HYPERLINK(IF('รวมปกติ+พิเศษ'!$L$1="เปิด", "#'รวมปกติ+พิเศษ'!A" &amp; MATCH("คณะสหเวชศาสตร์", 'รวมปกติ+พิเศษ'!A:A, 0), "#A"&amp;ROW()), IF('รวมปกติ+พิเศษ'!$L$1="เปิด", "กลับรวมปกติ+พิเศษ", ""))</f>
        <v/>
      </c>
      <c r="B38" s="191" t="s">
        <v>97</v>
      </c>
      <c r="C38" s="218">
        <f>HYPERLINK(IF($G$1="เปิด", "#'ปกติ'!" &amp; ADDRESS(ROW(ปกติ!E226), COLUMN(ปกติ!E226), 4) &amp; ":" &amp; ADDRESS(ROW(ปกติ!E227), COLUMN(ปกติ!E227), 4), ""), SUM(ปกติ!E226:E227))</f>
        <v>23.5</v>
      </c>
      <c r="D38" s="218">
        <f>HYPERLINK(IF($G$1="เปิด", "#'ปกติ'!" &amp; ADDRESS(ROW(ปกติ!I226), COLUMN(ปกติ!I226), 4) &amp; ":" &amp; ADDRESS(ROW(ปกติ!I227), COLUMN(ปกติ!I227), 4), ""), SUM(ปกติ!I226:I227))</f>
        <v>17.920000000000002</v>
      </c>
      <c r="E38" s="218">
        <f>HYPERLINK(IF($G$1="เปิด", "#'ปกติ'!" &amp; ADDRESS(ROW(ปกติ!M226), COLUMN(ปกติ!M226), 4) &amp; ":" &amp; ADDRESS(ROW(ปกติ!M227), COLUMN(ปกติ!M227), 4), ""), SUM(ปกติ!M226:M227))</f>
        <v>0</v>
      </c>
      <c r="F38" s="219">
        <f>HYPERLINK(IF($G$1="เปิด", "#'ปกติ'!" &amp; ADDRESS(ROW(ปกติ!Q226), COLUMN(ปกติ!Q226), 4) &amp; ":" &amp; ADDRESS(ROW(ปกติ!Q227), COLUMN(ปกติ!Q227), 4), ""), SUM(ปกติ!Q226:Q227))</f>
        <v>20.71</v>
      </c>
      <c r="G38" s="220"/>
    </row>
    <row r="39" spans="1:7" ht="21" customHeight="1" x14ac:dyDescent="0.35">
      <c r="A39" s="5" t="str">
        <f>HYPERLINK(IF($G$1="เปิด", "#ปกติ!A" &amp; MATCH("คณะสาธารณสุขศาสตร์", ปกติ!A:A, 0), ""), IF($G$1="เปิด", "คณะสาธารณสุขศาสตร์ (ไปชีทปกติ)", "คณะสาธารณสุขศาสตร์"))</f>
        <v>คณะสาธารณสุขศาสตร์</v>
      </c>
      <c r="B39" s="5" t="s">
        <v>8</v>
      </c>
      <c r="C39" s="121">
        <f>HYPERLINK(IF($G$1="เปิด", "#'ปกติ'!" &amp; ADDRESS(ROW(ปกติ!D250), COLUMN(ปกติ!D250), 4), ""), ปกติ!D250)</f>
        <v>1752.58</v>
      </c>
      <c r="D39" s="121">
        <f>HYPERLINK(IF($G$1="เปิด", "#'ปกติ'!" &amp; ADDRESS(ROW(ปกติ!H250), COLUMN(ปกติ!H250), 4), ""), ปกติ!H250)</f>
        <v>1153</v>
      </c>
      <c r="E39" s="121">
        <f>HYPERLINK(IF($G$1="เปิด", "#'ปกติ'!" &amp; ADDRESS(ROW(ปกติ!L250), COLUMN(ปกติ!L250), 4), ""), ปกติ!L250)</f>
        <v>22.67</v>
      </c>
      <c r="F39" s="183">
        <f>HYPERLINK(IF($G$1="เปิด", "#'ปกติ'!" &amp; ADDRESS(ROW(ปกติ!P250), COLUMN(ปกติ!P250), 4), ""), ปกติ!P250)</f>
        <v>1464.12</v>
      </c>
      <c r="G39" s="221">
        <f>SUM(F39:F40)</f>
        <v>1472.5</v>
      </c>
    </row>
    <row r="40" spans="1:7" ht="21" customHeight="1" x14ac:dyDescent="0.35">
      <c r="A40" s="192" t="str">
        <f>HYPERLINK(IF('รวมปกติ+พิเศษ'!$L$1="เปิด", "#'รวมปกติ+พิเศษ'!A" &amp; MATCH("คณะสาธารณสุขศาสตร์", 'รวมปกติ+พิเศษ'!A:A, 0), "#A"&amp;ROW()), IF('รวมปกติ+พิเศษ'!$L$1="เปิด", "กลับรวมปกติ+พิเศษ", ""))</f>
        <v/>
      </c>
      <c r="B40" s="191" t="s">
        <v>97</v>
      </c>
      <c r="C40" s="218">
        <f>HYPERLINK(IF($G$1="เปิด", "#'ปกติ'!" &amp; ADDRESS(ROW(ปกติ!E251), COLUMN(ปกติ!E251), 4) &amp; ":" &amp; ADDRESS(ROW(ปกติ!E252), COLUMN(ปกติ!E252), 4), ""), SUM(ปกติ!E251:E252))</f>
        <v>8.08</v>
      </c>
      <c r="D40" s="218">
        <f>HYPERLINK(IF($G$1="เปิด", "#'ปกติ'!" &amp; ADDRESS(ROW(ปกติ!I251), COLUMN(ปกติ!I251), 4) &amp; ":" &amp; ADDRESS(ROW(ปกติ!I252), COLUMN(ปกติ!I252), 4), ""), SUM(ปกติ!I251:I252))</f>
        <v>8.67</v>
      </c>
      <c r="E40" s="218">
        <f>HYPERLINK(IF($G$1="เปิด", "#'ปกติ'!" &amp; ADDRESS(ROW(ปกติ!M251), COLUMN(ปกติ!M251), 4) &amp; ":" &amp; ADDRESS(ROW(ปกติ!M252), COLUMN(ปกติ!M252), 4), ""), SUM(ปกติ!M251:M252))</f>
        <v>0</v>
      </c>
      <c r="F40" s="219">
        <f>HYPERLINK(IF($G$1="เปิด", "#'ปกติ'!" &amp; ADDRESS(ROW(ปกติ!Q251), COLUMN(ปกติ!Q251), 4) &amp; ":" &amp; ADDRESS(ROW(ปกติ!Q252), COLUMN(ปกติ!Q252), 4), ""), SUM(ปกติ!Q251:Q252))</f>
        <v>8.3800000000000008</v>
      </c>
      <c r="G40" s="220"/>
    </row>
    <row r="41" spans="1:7" ht="21" customHeight="1" x14ac:dyDescent="0.35">
      <c r="A41" s="5" t="str">
        <f>HYPERLINK(IF($G$1="เปิด", "#ปกติ!A" &amp; MATCH("วิทยาลัยนานาชาติ", ปกติ!A:A, 0), ""), IF($G$1="เปิด", "วิทยาลัยนานาชาติ (ไปชีทปกติ)", "วิทยาลัยนานาชาติ"))</f>
        <v>วิทยาลัยนานาชาติ</v>
      </c>
      <c r="B41" s="5" t="s">
        <v>8</v>
      </c>
      <c r="C41" s="121">
        <f>HYPERLINK(IF($G$1="เปิด", "#'ปกติ'!" &amp; ADDRESS(ROW(ปกติ!D254), COLUMN(ปกติ!D254), 4), ""), ปกติ!D254)</f>
        <v>735.78</v>
      </c>
      <c r="D41" s="121">
        <f>HYPERLINK(IF($G$1="เปิด", "#'ปกติ'!" &amp; ADDRESS(ROW(ปกติ!H254), COLUMN(ปกติ!H254), 4), ""), ปกติ!H254)</f>
        <v>484.89</v>
      </c>
      <c r="E41" s="121">
        <f>HYPERLINK(IF($G$1="เปิด", "#'ปกติ'!" &amp; ADDRESS(ROW(ปกติ!L254), COLUMN(ปกติ!L254), 4), ""), ปกติ!L254)</f>
        <v>0.67</v>
      </c>
      <c r="F41" s="183">
        <f>HYPERLINK(IF($G$1="เปิด", "#'ปกติ'!" &amp; ADDRESS(ROW(ปกติ!P254), COLUMN(ปกติ!P254), 4), ""), ปกติ!P254)</f>
        <v>610.66999999999996</v>
      </c>
      <c r="G41" s="221">
        <f>SUM(F41:F42)</f>
        <v>610.66999999999996</v>
      </c>
    </row>
    <row r="42" spans="1:7" ht="21" customHeight="1" x14ac:dyDescent="0.35">
      <c r="A42" s="192" t="str">
        <f>HYPERLINK(IF('รวมปกติ+พิเศษ'!$L$1="เปิด", "#'รวมปกติ+พิเศษ'!A" &amp; MATCH("วิทยาลัยนานาชาติ", 'รวมปกติ+พิเศษ'!A:A, 0), "#A"&amp;ROW()), IF('รวมปกติ+พิเศษ'!$L$1="เปิด", "กลับรวมปกติ+พิเศษ", ""))</f>
        <v/>
      </c>
      <c r="B42" s="191" t="s">
        <v>97</v>
      </c>
      <c r="C42" s="218">
        <f>HYPERLINK(IF($G$1="เปิด", "#'ปกติ'!" &amp; ADDRESS(ROW(ปกติ!E255), COLUMN(ปกติ!E255), 4) &amp; ":" &amp; ADDRESS(ROW(ปกติ!E256), COLUMN(ปกติ!E256), 4), ""), SUM(ปกติ!E255:E256))</f>
        <v>0</v>
      </c>
      <c r="D42" s="218">
        <f>HYPERLINK(IF($G$1="เปิด", "#'ปกติ'!" &amp; ADDRESS(ROW(ปกติ!I255), COLUMN(ปกติ!I255), 4) &amp; ":" &amp; ADDRESS(ROW(ปกติ!I256), COLUMN(ปกติ!I256), 4), ""), SUM(ปกติ!I255:I256))</f>
        <v>0</v>
      </c>
      <c r="E42" s="218">
        <f>HYPERLINK(IF($G$1="เปิด", "#'ปกติ'!" &amp; ADDRESS(ROW(ปกติ!M255), COLUMN(ปกติ!M255), 4) &amp; ":" &amp; ADDRESS(ROW(ปกติ!M256), COLUMN(ปกติ!M256), 4), ""), SUM(ปกติ!M255:M256))</f>
        <v>0</v>
      </c>
      <c r="F42" s="219">
        <f>HYPERLINK(IF($G$1="เปิด", "#'ปกติ'!" &amp; ADDRESS(ROW(ปกติ!Q255), COLUMN(ปกติ!Q255), 4) &amp; ":" &amp; ADDRESS(ROW(ปกติ!Q256), COLUMN(ปกติ!Q256), 4), ""), SUM(ปกติ!Q255:Q256))</f>
        <v>0</v>
      </c>
      <c r="G42" s="220"/>
    </row>
    <row r="43" spans="1:7" ht="21" customHeight="1" x14ac:dyDescent="0.35">
      <c r="A43" s="5" t="str">
        <f>HYPERLINK(IF($G$1="เปิด", "#ปกติ!A" &amp; MATCH("วิทยาลัยวิทยาการวิจัยและวิทยาการปัญญา", ปกติ!A:A, 0), ""), IF($G$1="เปิด", "วิทยาลัยวิทยาการวิจัยและวิทยาการปัญญา (ไปชีทปกติ)", "วิทยาลัยวิทยาการวิจัยและวิทยาการปัญญา"))</f>
        <v>วิทยาลัยวิทยาการวิจัยและวิทยาการปัญญา</v>
      </c>
      <c r="B43" s="5" t="s">
        <v>8</v>
      </c>
      <c r="C43" s="121">
        <f>HYPERLINK(IF($G$1="เปิด", "#'ปกติ'!" &amp; ADDRESS(ROW(ปกติ!D258), COLUMN(ปกติ!D258), 4), ""), ปกติ!D258)</f>
        <v>0</v>
      </c>
      <c r="D43" s="121">
        <f>HYPERLINK(IF($G$1="เปิด", "#'ปกติ'!" &amp; ADDRESS(ROW(ปกติ!H258), COLUMN(ปกติ!H258), 4), ""), ปกติ!H258)</f>
        <v>0</v>
      </c>
      <c r="E43" s="121">
        <f>HYPERLINK(IF($G$1="เปิด", "#'ปกติ'!" &amp; ADDRESS(ROW(ปกติ!L258), COLUMN(ปกติ!L258), 4), ""), ปกติ!L258)</f>
        <v>0</v>
      </c>
      <c r="F43" s="183">
        <f>HYPERLINK(IF($G$1="เปิด", "#'ปกติ'!" &amp; ADDRESS(ROW(ปกติ!P258), COLUMN(ปกติ!P258), 4), ""), ปกติ!P258)</f>
        <v>0</v>
      </c>
      <c r="G43" s="221">
        <f>SUM(F43:F44)</f>
        <v>2.25</v>
      </c>
    </row>
    <row r="44" spans="1:7" ht="21" customHeight="1" x14ac:dyDescent="0.35">
      <c r="A44" s="192" t="str">
        <f>HYPERLINK(IF('รวมปกติ+พิเศษ'!$L$1="เปิด", "#'รวมปกติ+พิเศษ'!A" &amp; MATCH("วิทยาลัยวิทยาการวิจัยและวิทยาการปัญญา", 'รวมปกติ+พิเศษ'!A:A, 0), "#A"&amp;ROW()), IF('รวมปกติ+พิเศษ'!$L$1="เปิด", "กลับรวมปกติ+พิเศษ", ""))</f>
        <v/>
      </c>
      <c r="B44" s="191" t="s">
        <v>97</v>
      </c>
      <c r="C44" s="218">
        <f>HYPERLINK(IF($G$1="เปิด", "#'ปกติ'!" &amp; ADDRESS(ROW(ปกติ!E259), COLUMN(ปกติ!E259), 4) &amp; ":" &amp; ADDRESS(ROW(ปกติ!E260), COLUMN(ปกติ!E260), 4), ""), SUM(ปกติ!E259:E260))</f>
        <v>4.5</v>
      </c>
      <c r="D44" s="218">
        <f>HYPERLINK(IF($G$1="เปิด", "#'ปกติ'!" &amp; ADDRESS(ROW(ปกติ!I259), COLUMN(ปกติ!I259), 4) &amp; ":" &amp; ADDRESS(ROW(ปกติ!I260), COLUMN(ปกติ!I260), 4), ""), SUM(ปกติ!I259:I260))</f>
        <v>0</v>
      </c>
      <c r="E44" s="218">
        <f>HYPERLINK(IF($G$1="เปิด", "#'ปกติ'!" &amp; ADDRESS(ROW(ปกติ!M259), COLUMN(ปกติ!M259), 4) &amp; ":" &amp; ADDRESS(ROW(ปกติ!M260), COLUMN(ปกติ!M260), 4), ""), SUM(ปกติ!M259:M260))</f>
        <v>0</v>
      </c>
      <c r="F44" s="219">
        <f>HYPERLINK(IF($G$1="เปิด", "#'ปกติ'!" &amp; ADDRESS(ROW(ปกติ!Q259), COLUMN(ปกติ!Q259), 4) &amp; ":" &amp; ADDRESS(ROW(ปกติ!Q260), COLUMN(ปกติ!Q260), 4), ""), SUM(ปกติ!Q259:Q260))</f>
        <v>2.25</v>
      </c>
      <c r="G44" s="220"/>
    </row>
    <row r="45" spans="1:7" ht="21" customHeight="1" x14ac:dyDescent="0.35">
      <c r="A45" s="5" t="str">
        <f>HYPERLINK(IF($G$1="เปิด", "#ปกติ!A" &amp; MATCH("สถาบันภาษา", ปกติ!A:A, 0), ""), IF($G$1="เปิด", "สถาบันภาษา (ไปชีทปกติ)", "สถาบันภาษา"))</f>
        <v>สถาบันภาษา</v>
      </c>
      <c r="B45" s="5" t="s">
        <v>8</v>
      </c>
      <c r="C45" s="121">
        <f>HYPERLINK(IF($G$1="เปิด", "#'ปกติ'!" &amp; ADDRESS(ROW(ปกติ!D262), COLUMN(ปกติ!D262), 4), ""), ปกติ!D262)</f>
        <v>1023.78</v>
      </c>
      <c r="D45" s="121">
        <f>HYPERLINK(IF($G$1="เปิด", "#'ปกติ'!" &amp; ADDRESS(ROW(ปกติ!H262), COLUMN(ปกติ!H262), 4), ""), ปกติ!H262)</f>
        <v>955.61</v>
      </c>
      <c r="E45" s="121">
        <f>HYPERLINK(IF($G$1="เปิด", "#'ปกติ'!" &amp; ADDRESS(ROW(ปกติ!L262), COLUMN(ปกติ!L262), 4), ""), ปกติ!L262)</f>
        <v>0</v>
      </c>
      <c r="F45" s="183">
        <f>HYPERLINK(IF($G$1="เปิด", "#'ปกติ'!" &amp; ADDRESS(ROW(ปกติ!P262), COLUMN(ปกติ!P262), 4), ""), ปกติ!P262)</f>
        <v>989.7</v>
      </c>
      <c r="G45" s="221">
        <f>SUM(F45:F46)</f>
        <v>989.7</v>
      </c>
    </row>
    <row r="46" spans="1:7" ht="21" customHeight="1" x14ac:dyDescent="0.35">
      <c r="A46" s="192" t="str">
        <f>HYPERLINK(IF('รวมปกติ+พิเศษ'!$L$1="เปิด", "#'รวมปกติ+พิเศษ'!A" &amp; MATCH("สถาบันภาษา", 'รวมปกติ+พิเศษ'!A:A, 0), "#A"&amp;ROW()), IF('รวมปกติ+พิเศษ'!$L$1="เปิด", "กลับรวมปกติ+พิเศษ", ""))</f>
        <v/>
      </c>
      <c r="B46" s="191" t="s">
        <v>97</v>
      </c>
      <c r="C46" s="218">
        <f>HYPERLINK(IF($G$1="เปิด", "#'ปกติ'!" &amp; ADDRESS(ROW(ปกติ!E263), COLUMN(ปกติ!E263), 4) &amp; ":" &amp; ADDRESS(ROW(ปกติ!E264), COLUMN(ปกติ!E264), 4), ""), SUM(ปกติ!E263:E264))</f>
        <v>0</v>
      </c>
      <c r="D46" s="218">
        <f>HYPERLINK(IF($G$1="เปิด", "#'ปกติ'!" &amp; ADDRESS(ROW(ปกติ!I263), COLUMN(ปกติ!I263), 4) &amp; ":" &amp; ADDRESS(ROW(ปกติ!I264), COLUMN(ปกติ!I264), 4), ""), SUM(ปกติ!I263:I264))</f>
        <v>0</v>
      </c>
      <c r="E46" s="218">
        <f>HYPERLINK(IF($G$1="เปิด", "#'ปกติ'!" &amp; ADDRESS(ROW(ปกติ!M263), COLUMN(ปกติ!M263), 4) &amp; ":" &amp; ADDRESS(ROW(ปกติ!M264), COLUMN(ปกติ!M264), 4), ""), SUM(ปกติ!M263:M264))</f>
        <v>0</v>
      </c>
      <c r="F46" s="219">
        <f>HYPERLINK(IF($G$1="เปิด", "#'ปกติ'!" &amp; ADDRESS(ROW(ปกติ!Q263), COLUMN(ปกติ!Q263), 4) &amp; ":" &amp; ADDRESS(ROW(ปกติ!Q264), COLUMN(ปกติ!Q264), 4), ""), SUM(ปกติ!Q263:Q264))</f>
        <v>0</v>
      </c>
      <c r="G46" s="220"/>
    </row>
    <row r="47" spans="1:7" ht="21" customHeight="1" x14ac:dyDescent="0.35">
      <c r="A47" s="5" t="str">
        <f>HYPERLINK(IF($G$1="เปิด", "#ปกติ!A" &amp; MATCH("คณะเทคโนโลยีทางทะเล", ปกติ!A:A, 0), ""), IF($G$1="เปิด", "คณะเทคโนโลยีทางทะเล (ไปชีทปกติ)", "คณะเทคโนโลยีทางทะเล"))</f>
        <v>คณะเทคโนโลยีทางทะเล</v>
      </c>
      <c r="B47" s="5" t="s">
        <v>8</v>
      </c>
      <c r="C47" s="121">
        <f>HYPERLINK(IF($G$1="เปิด", "#'ปกติ'!" &amp; ADDRESS(ROW(ปกติ!D272), COLUMN(ปกติ!D272), 4), ""), ปกติ!D272)</f>
        <v>163.46</v>
      </c>
      <c r="D47" s="121">
        <f>HYPERLINK(IF($G$1="เปิด", "#'ปกติ'!" &amp; ADDRESS(ROW(ปกติ!H272), COLUMN(ปกติ!H272), 4), ""), ปกติ!H272)</f>
        <v>121.33</v>
      </c>
      <c r="E47" s="121">
        <f>HYPERLINK(IF($G$1="เปิด", "#'ปกติ'!" &amp; ADDRESS(ROW(ปกติ!L272), COLUMN(ปกติ!L272), 4), ""), ปกติ!L272)</f>
        <v>0.56000000000000005</v>
      </c>
      <c r="F47" s="183">
        <f>HYPERLINK(IF($G$1="เปิด", "#'ปกติ'!" &amp; ADDRESS(ROW(ปกติ!P272), COLUMN(ปกติ!P272), 4), ""), ปกติ!P272)</f>
        <v>142.66999999999999</v>
      </c>
      <c r="G47" s="221">
        <f>SUM(F47:F48)</f>
        <v>143.66999999999999</v>
      </c>
    </row>
    <row r="48" spans="1:7" ht="21" customHeight="1" x14ac:dyDescent="0.35">
      <c r="A48" s="192" t="str">
        <f>HYPERLINK(IF('รวมปกติ+พิเศษ'!$L$1="เปิด", "#'รวมปกติ+พิเศษ'!A" &amp; MATCH("คณะเทคโนโลยีทางทะเล", 'รวมปกติ+พิเศษ'!A:A, 0), "#A"&amp;ROW()), IF('รวมปกติ+พิเศษ'!$L$1="เปิด", "กลับรวมปกติ+พิเศษ", ""))</f>
        <v/>
      </c>
      <c r="B48" s="191" t="s">
        <v>97</v>
      </c>
      <c r="C48" s="218">
        <f>HYPERLINK(IF($G$1="เปิด", "#'ปกติ'!" &amp; ADDRESS(ROW(ปกติ!E273), COLUMN(ปกติ!E273), 4) &amp; ":" &amp; ADDRESS(ROW(ปกติ!E274), COLUMN(ปกติ!E274), 4), ""), SUM(ปกติ!E273:E274))</f>
        <v>0</v>
      </c>
      <c r="D48" s="218">
        <f>HYPERLINK(IF($G$1="เปิด", "#'ปกติ'!" &amp; ADDRESS(ROW(ปกติ!I273), COLUMN(ปกติ!I273), 4) &amp; ":" &amp; ADDRESS(ROW(ปกติ!I274), COLUMN(ปกติ!I274), 4), ""), SUM(ปกติ!I273:I274))</f>
        <v>1</v>
      </c>
      <c r="E48" s="218">
        <f>HYPERLINK(IF($G$1="เปิด", "#'ปกติ'!" &amp; ADDRESS(ROW(ปกติ!M273), COLUMN(ปกติ!M273), 4) &amp; ":" &amp; ADDRESS(ROW(ปกติ!M274), COLUMN(ปกติ!M274), 4), ""), SUM(ปกติ!M273:M274))</f>
        <v>1</v>
      </c>
      <c r="F48" s="219">
        <f>HYPERLINK(IF($G$1="เปิด", "#'ปกติ'!" &amp; ADDRESS(ROW(ปกติ!Q273), COLUMN(ปกติ!Q273), 4) &amp; ":" &amp; ADDRESS(ROW(ปกติ!Q274), COLUMN(ปกติ!Q274), 4), ""), SUM(ปกติ!Q273:Q274))</f>
        <v>1</v>
      </c>
      <c r="G48" s="220"/>
    </row>
    <row r="49" spans="1:7" ht="21" customHeight="1" x14ac:dyDescent="0.35">
      <c r="A49" s="5" t="str">
        <f>HYPERLINK(IF($G$1="เปิด", "#ปกติ!A" &amp; MATCH("คณะวิทยาศาสตร์และศิลปศาสตร์", ปกติ!A:A, 0), ""), IF($G$1="เปิด", "คณะวิทยาศาสตร์และศิลปศาสตร์ (ไปชีทปกติ)", "คณะวิทยาศาสตร์และศิลปศาสตร์"))</f>
        <v>คณะวิทยาศาสตร์และศิลปศาสตร์</v>
      </c>
      <c r="B49" s="5" t="s">
        <v>8</v>
      </c>
      <c r="C49" s="121">
        <f>HYPERLINK(IF($G$1="เปิด", "#'ปกติ'!" &amp; ADDRESS(ROW(ปกติ!D276), COLUMN(ปกติ!D276), 4), ""), ปกติ!D276)</f>
        <v>892.97</v>
      </c>
      <c r="D49" s="121">
        <f>HYPERLINK(IF($G$1="เปิด", "#'ปกติ'!" &amp; ADDRESS(ROW(ปกติ!H276), COLUMN(ปกติ!H276), 4), ""), ปกติ!H276)</f>
        <v>656.06</v>
      </c>
      <c r="E49" s="121">
        <f>HYPERLINK(IF($G$1="เปิด", "#'ปกติ'!" &amp; ADDRESS(ROW(ปกติ!L276), COLUMN(ปกติ!L276), 4), ""), ปกติ!L276)</f>
        <v>3.17</v>
      </c>
      <c r="F49" s="183">
        <f>HYPERLINK(IF($G$1="เปิด", "#'ปกติ'!" &amp; ADDRESS(ROW(ปกติ!P276), COLUMN(ปกติ!P276), 4), ""), ปกติ!P276)</f>
        <v>776.1</v>
      </c>
      <c r="G49" s="221">
        <f>SUM(F49:F50)</f>
        <v>776.1</v>
      </c>
    </row>
    <row r="50" spans="1:7" ht="21" customHeight="1" x14ac:dyDescent="0.35">
      <c r="A50" s="192" t="str">
        <f>HYPERLINK(IF('รวมปกติ+พิเศษ'!$L$1="เปิด", "#'รวมปกติ+พิเศษ'!A" &amp; MATCH("คณะวิทยาศาสตร์และศิลปศาสตร์", 'รวมปกติ+พิเศษ'!A:A, 0), "#A"&amp;ROW()), IF('รวมปกติ+พิเศษ'!$L$1="เปิด", "กลับรวมปกติ+พิเศษ", ""))</f>
        <v/>
      </c>
      <c r="B50" s="191" t="s">
        <v>97</v>
      </c>
      <c r="C50" s="218">
        <f>HYPERLINK(IF($G$1="เปิด", "#'ปกติ'!" &amp; ADDRESS(ROW(ปกติ!E277), COLUMN(ปกติ!E277), 4) &amp; ":" &amp; ADDRESS(ROW(ปกติ!E278), COLUMN(ปกติ!E278), 4), ""), SUM(ปกติ!E277:E278))</f>
        <v>0</v>
      </c>
      <c r="D50" s="218">
        <f>HYPERLINK(IF($G$1="เปิด", "#'ปกติ'!" &amp; ADDRESS(ROW(ปกติ!I277), COLUMN(ปกติ!I277), 4) &amp; ":" &amp; ADDRESS(ROW(ปกติ!I278), COLUMN(ปกติ!I278), 4), ""), SUM(ปกติ!I277:I278))</f>
        <v>0</v>
      </c>
      <c r="E50" s="218">
        <f>HYPERLINK(IF($G$1="เปิด", "#'ปกติ'!" &amp; ADDRESS(ROW(ปกติ!M277), COLUMN(ปกติ!M277), 4) &amp; ":" &amp; ADDRESS(ROW(ปกติ!M278), COLUMN(ปกติ!M278), 4), ""), SUM(ปกติ!M277:M278))</f>
        <v>0</v>
      </c>
      <c r="F50" s="219">
        <f>HYPERLINK(IF($G$1="เปิด", "#'ปกติ'!" &amp; ADDRESS(ROW(ปกติ!Q277), COLUMN(ปกติ!Q277), 4) &amp; ":" &amp; ADDRESS(ROW(ปกติ!Q278), COLUMN(ปกติ!Q278), 4), ""), SUM(ปกติ!Q277:Q278))</f>
        <v>0</v>
      </c>
      <c r="G50" s="220"/>
    </row>
    <row r="51" spans="1:7" ht="21" customHeight="1" x14ac:dyDescent="0.35">
      <c r="A51" s="5" t="str">
        <f>HYPERLINK(IF($G$1="เปิด", "#ปกติ!A" &amp; MATCH("คณะอัญมณี", ปกติ!A:A, 0), ""), IF($G$1="เปิด", "คณะอัญมณี (ไปชีทปกติ)", "คณะอัญมณี"))</f>
        <v>คณะอัญมณี</v>
      </c>
      <c r="B51" s="5" t="s">
        <v>8</v>
      </c>
      <c r="C51" s="121">
        <f>HYPERLINK(IF($G$1="เปิด", "#'ปกติ'!" &amp; ADDRESS(ROW(ปกติ!D280), COLUMN(ปกติ!D280), 4), ""), ปกติ!D280)</f>
        <v>123.94</v>
      </c>
      <c r="D51" s="121">
        <f>HYPERLINK(IF($G$1="เปิด", "#'ปกติ'!" &amp; ADDRESS(ROW(ปกติ!H280), COLUMN(ปกติ!H280), 4), ""), ปกติ!H280)</f>
        <v>109.83</v>
      </c>
      <c r="E51" s="121">
        <f>HYPERLINK(IF($G$1="เปิด", "#'ปกติ'!" &amp; ADDRESS(ROW(ปกติ!L280), COLUMN(ปกติ!L280), 4), ""), ปกติ!L280)</f>
        <v>1.28</v>
      </c>
      <c r="F51" s="183">
        <f>HYPERLINK(IF($G$1="เปิด", "#'ปกติ'!" &amp; ADDRESS(ROW(ปกติ!P280), COLUMN(ปกติ!P280), 4), ""), ปกติ!P280)</f>
        <v>117.53</v>
      </c>
      <c r="G51" s="221">
        <f>SUM(F51:F52)</f>
        <v>117.53</v>
      </c>
    </row>
    <row r="52" spans="1:7" ht="21" customHeight="1" x14ac:dyDescent="0.35">
      <c r="A52" s="192" t="str">
        <f>HYPERLINK(IF('รวมปกติ+พิเศษ'!$L$1="เปิด", "#'รวมปกติ+พิเศษ'!A" &amp; MATCH("คณะอัญมณี", 'รวมปกติ+พิเศษ'!A:A, 0), "#A"&amp;ROW()), IF('รวมปกติ+พิเศษ'!$L$1="เปิด", "กลับรวมปกติ+พิเศษ", ""))</f>
        <v/>
      </c>
      <c r="B52" s="191" t="s">
        <v>97</v>
      </c>
      <c r="C52" s="218">
        <f>HYPERLINK(IF($G$1="เปิด", "#'ปกติ'!" &amp; ADDRESS(ROW(ปกติ!E281), COLUMN(ปกติ!E281), 4) &amp; ":" &amp; ADDRESS(ROW(ปกติ!E282), COLUMN(ปกติ!E282), 4), ""), SUM(ปกติ!E281:E282))</f>
        <v>0</v>
      </c>
      <c r="D52" s="218">
        <f>HYPERLINK(IF($G$1="เปิด", "#'ปกติ'!" &amp; ADDRESS(ROW(ปกติ!I281), COLUMN(ปกติ!I281), 4) &amp; ":" &amp; ADDRESS(ROW(ปกติ!I282), COLUMN(ปกติ!I282), 4), ""), SUM(ปกติ!I281:I282))</f>
        <v>0</v>
      </c>
      <c r="E52" s="218">
        <f>HYPERLINK(IF($G$1="เปิด", "#'ปกติ'!" &amp; ADDRESS(ROW(ปกติ!M281), COLUMN(ปกติ!M281), 4) &amp; ":" &amp; ADDRESS(ROW(ปกติ!M282), COLUMN(ปกติ!M282), 4), ""), SUM(ปกติ!M281:M282))</f>
        <v>0</v>
      </c>
      <c r="F52" s="219">
        <f>HYPERLINK(IF($G$1="เปิด", "#'ปกติ'!" &amp; ADDRESS(ROW(ปกติ!Q281), COLUMN(ปกติ!Q281), 4) &amp; ":" &amp; ADDRESS(ROW(ปกติ!Q282), COLUMN(ปกติ!Q282), 4), ""), SUM(ปกติ!Q281:Q282))</f>
        <v>0</v>
      </c>
      <c r="G52" s="220"/>
    </row>
    <row r="53" spans="1:7" ht="21" customHeight="1" x14ac:dyDescent="0.35">
      <c r="A53" s="5" t="str">
        <f>HYPERLINK(IF($G$1="เปิด", "#ปกติ!A" &amp; MATCH("คณะวิทยาศาสตร์และสังคมศาสตร์", ปกติ!A:A, 0), ""), IF($G$1="เปิด", "คณะวิทยาศาสตร์และสังคมศาสตร์ (ไปชีทปกติ)", "คณะวิทยาศาสตร์และสังคมศาสตร์"))</f>
        <v>คณะวิทยาศาสตร์และสังคมศาสตร์</v>
      </c>
      <c r="B53" s="5" t="s">
        <v>8</v>
      </c>
      <c r="C53" s="121">
        <f>HYPERLINK(IF($G$1="เปิด", "#'ปกติ'!" &amp; ADDRESS(ROW(ปกติ!D289), COLUMN(ปกติ!D289), 4), ""), ปกติ!D289)</f>
        <v>539.82000000000005</v>
      </c>
      <c r="D53" s="121">
        <f>HYPERLINK(IF($G$1="เปิด", "#'ปกติ'!" &amp; ADDRESS(ROW(ปกติ!H289), COLUMN(ปกติ!H289), 4), ""), ปกติ!H289)</f>
        <v>342.89</v>
      </c>
      <c r="E53" s="121">
        <f>HYPERLINK(IF($G$1="เปิด", "#'ปกติ'!" &amp; ADDRESS(ROW(ปกติ!L289), COLUMN(ปกติ!L289), 4), ""), ปกติ!L289)</f>
        <v>20.94</v>
      </c>
      <c r="F53" s="183">
        <f>HYPERLINK(IF($G$1="เปิด", "#'ปกติ'!" &amp; ADDRESS(ROW(ปกติ!P289), COLUMN(ปกติ!P289), 4), ""), ปกติ!P289)</f>
        <v>451.83</v>
      </c>
      <c r="G53" s="221">
        <f>SUM(F53:F54)</f>
        <v>451.83</v>
      </c>
    </row>
    <row r="54" spans="1:7" ht="21" customHeight="1" x14ac:dyDescent="0.35">
      <c r="A54" s="192" t="str">
        <f>HYPERLINK(IF('รวมปกติ+พิเศษ'!$L$1="เปิด", "#'รวมปกติ+พิเศษ'!A" &amp; MATCH("คณะวิทยาศาสตร์และสังคมศาสตร์", 'รวมปกติ+พิเศษ'!A:A, 0), "#A"&amp;ROW()), IF('รวมปกติ+พิเศษ'!$L$1="เปิด", "กลับรวมปกติ+พิเศษ", ""))</f>
        <v/>
      </c>
      <c r="B54" s="191" t="s">
        <v>97</v>
      </c>
      <c r="C54" s="218">
        <f>HYPERLINK(IF($G$1="เปิด", "#'ปกติ'!" &amp; ADDRESS(ROW(ปกติ!E290), COLUMN(ปกติ!E290), 4) &amp; ":" &amp; ADDRESS(ROW(ปกติ!E291), COLUMN(ปกติ!E291), 4), ""), SUM(ปกติ!E290:E291))</f>
        <v>0</v>
      </c>
      <c r="D54" s="218">
        <f>HYPERLINK(IF($G$1="เปิด", "#'ปกติ'!" &amp; ADDRESS(ROW(ปกติ!I290), COLUMN(ปกติ!I290), 4) &amp; ":" &amp; ADDRESS(ROW(ปกติ!I291), COLUMN(ปกติ!I291), 4), ""), SUM(ปกติ!I290:I291))</f>
        <v>0</v>
      </c>
      <c r="E54" s="218">
        <f>HYPERLINK(IF($G$1="เปิด", "#'ปกติ'!" &amp; ADDRESS(ROW(ปกติ!M290), COLUMN(ปกติ!M290), 4) &amp; ":" &amp; ADDRESS(ROW(ปกติ!M291), COLUMN(ปกติ!M291), 4), ""), SUM(ปกติ!M290:M291))</f>
        <v>0</v>
      </c>
      <c r="F54" s="219">
        <f>HYPERLINK(IF($G$1="เปิด", "#'ปกติ'!" &amp; ADDRESS(ROW(ปกติ!Q290), COLUMN(ปกติ!Q290), 4) &amp; ":" &amp; ADDRESS(ROW(ปกติ!Q291), COLUMN(ปกติ!Q291), 4), ""), SUM(ปกติ!Q290:Q291))</f>
        <v>0</v>
      </c>
      <c r="G54" s="220"/>
    </row>
    <row r="55" spans="1:7" ht="21" customHeight="1" x14ac:dyDescent="0.35">
      <c r="A55" s="5" t="str">
        <f>HYPERLINK(IF($G$1="เปิด", "#ปกติ!A" &amp; MATCH("คณะเทคโนโลยีการเกษตร", ปกติ!A:A, 0), ""), IF($G$1="เปิด", "คณะเทคโนโลยีการเกษตร (ไปชีทปกติ)", "คณะเทคโนโลยีการเกษตร"))</f>
        <v>คณะเทคโนโลยีการเกษตร</v>
      </c>
      <c r="B55" s="5" t="s">
        <v>8</v>
      </c>
      <c r="C55" s="121">
        <f>HYPERLINK(IF($G$1="เปิด", "#'ปกติ'!" &amp; ADDRESS(ROW(ปกติ!D293), COLUMN(ปกติ!D293), 4), ""), ปกติ!D293)</f>
        <v>49</v>
      </c>
      <c r="D55" s="121">
        <f>HYPERLINK(IF($G$1="เปิด", "#'ปกติ'!" &amp; ADDRESS(ROW(ปกติ!H293), COLUMN(ปกติ!H293), 4), ""), ปกติ!H293)</f>
        <v>37.06</v>
      </c>
      <c r="E55" s="121">
        <f>HYPERLINK(IF($G$1="เปิด", "#'ปกติ'!" &amp; ADDRESS(ROW(ปกติ!L293), COLUMN(ปกติ!L293), 4), ""), ปกติ!L293)</f>
        <v>2</v>
      </c>
      <c r="F55" s="183">
        <f>HYPERLINK(IF($G$1="เปิด", "#'ปกติ'!" &amp; ADDRESS(ROW(ปกติ!P293), COLUMN(ปกติ!P293), 4), ""), ปกติ!P293)</f>
        <v>44.03</v>
      </c>
      <c r="G55" s="221">
        <f>SUM(F55:F56)</f>
        <v>44.03</v>
      </c>
    </row>
    <row r="56" spans="1:7" ht="21" customHeight="1" x14ac:dyDescent="0.35">
      <c r="A56" s="192" t="str">
        <f>HYPERLINK(IF('รวมปกติ+พิเศษ'!$L$1="เปิด", "#'รวมปกติ+พิเศษ'!A" &amp; MATCH("คณะเทคโนโลยีการเกษตร", 'รวมปกติ+พิเศษ'!A:A, 0), "#A"&amp;ROW()), IF('รวมปกติ+พิเศษ'!$L$1="เปิด", "กลับรวมปกติ+พิเศษ", ""))</f>
        <v/>
      </c>
      <c r="B56" s="191" t="s">
        <v>97</v>
      </c>
      <c r="C56" s="269">
        <f>HYPERLINK(IF($G$1="เปิด", "#'ปกติ'!" &amp; ADDRESS(ROW(ปกติ!E294), COLUMN(ปกติ!E294), 4) &amp; ":" &amp; ADDRESS(ROW(ปกติ!E295), COLUMN(ปกติ!E295), 4), ""), SUM(ปกติ!E294:E295))</f>
        <v>0</v>
      </c>
      <c r="D56" s="269">
        <f>HYPERLINK(IF($G$1="เปิด", "#'ปกติ'!" &amp; ADDRESS(ROW(ปกติ!I294), COLUMN(ปกติ!I294), 4) &amp; ":" &amp; ADDRESS(ROW(ปกติ!I295), COLUMN(ปกติ!I295), 4), ""), SUM(ปกติ!I294:I295))</f>
        <v>0</v>
      </c>
      <c r="E56" s="269">
        <f>HYPERLINK(IF($G$1="เปิด", "#'ปกติ'!" &amp; ADDRESS(ROW(ปกติ!M294), COLUMN(ปกติ!M294), 4) &amp; ":" &amp; ADDRESS(ROW(ปกติ!M295), COLUMN(ปกติ!M295), 4), ""), SUM(ปกติ!M294:M295))</f>
        <v>0</v>
      </c>
      <c r="F56" s="270">
        <f>HYPERLINK(IF($G$1="เปิด", "#'ปกติ'!" &amp; ADDRESS(ROW(ปกติ!Q294), COLUMN(ปกติ!Q294), 4) &amp; ":" &amp; ADDRESS(ROW(ปกติ!Q295), COLUMN(ปกติ!Q295), 4), ""), SUM(ปกติ!Q294:Q295))</f>
        <v>0</v>
      </c>
      <c r="G56" s="220"/>
    </row>
    <row r="57" spans="1:7" ht="21" customHeight="1" x14ac:dyDescent="0.35">
      <c r="A57" s="103" t="s">
        <v>92</v>
      </c>
      <c r="B57" s="103"/>
      <c r="C57" s="15">
        <f>SUM(C3:C56)</f>
        <v>23264.94</v>
      </c>
      <c r="D57" s="15">
        <f>SUM(D3:D56)</f>
        <v>21562.135000000002</v>
      </c>
      <c r="E57" s="15">
        <f>SUM(E3:E56)</f>
        <v>342.77000000000004</v>
      </c>
      <c r="F57" s="15">
        <f>ROUND(SUM(C57:E57)/2,2)</f>
        <v>22584.92</v>
      </c>
      <c r="G57" s="15">
        <f>SUM(G3:G56)</f>
        <v>22585.025999999994</v>
      </c>
    </row>
  </sheetData>
  <conditionalFormatting sqref="C3:F56 A3:A56">
    <cfRule type="expression" dxfId="11" priority="2">
      <formula>$G$1="เปิด"</formula>
    </cfRule>
  </conditionalFormatting>
  <conditionalFormatting sqref="C3:G57">
    <cfRule type="expression" dxfId="9" priority="3">
      <formula>ABS(C3-INT(C3))&lt;0.01</formula>
    </cfRule>
  </conditionalFormatting>
  <conditionalFormatting sqref="G1">
    <cfRule type="expression" dxfId="8" priority="5">
      <formula>$G$1="ปิด"</formula>
    </cfRule>
  </conditionalFormatting>
  <dataValidations count="1">
    <dataValidation type="list" allowBlank="1" showInputMessage="1" showErrorMessage="1" sqref="G1" xr:uid="{EC3DC56C-8546-4DAF-829C-C0E687E0B556}">
      <formula1>"เปิด,ปิด"</formula1>
    </dataValidation>
  </dataValidations>
  <pageMargins left="0.35433070866141736" right="0.23622047244094491" top="0.74803149606299213" bottom="0.74803149606299213" header="0" footer="0"/>
  <pageSetup paperSize="9" orientation="portrait" r:id="rId1"/>
  <headerFooter>
    <oddFooter>&amp;Cหน้า &amp;P /</oddFooter>
  </headerFooter>
  <ignoredErrors>
    <ignoredError sqref="A2 B1 A57:B57 B3:B4 F2:G2 G3:G4 G11:G56 B11:B55 F1 B56" twoDigitTextYear="1"/>
  </ignoredErrors>
  <extLst>
    <ext xmlns:x14="http://schemas.microsoft.com/office/spreadsheetml/2009/9/main" uri="{78C0D931-6437-407d-A8EE-F0AAD7539E65}">
      <x14:conditionalFormattings>
        <x14:conditionalFormatting xmlns:xm="http://schemas.microsoft.com/office/excel/2006/main">
          <x14:cfRule type="expression" priority="1" id="{44D97BC1-0853-44D7-90AF-0CC519177506}">
            <xm:f>'รวมปกติ+พิเศษ'!$L$1="เปิด"</xm:f>
            <x14:dxf>
              <font>
                <color rgb="FF0464C2"/>
              </font>
            </x14:dxf>
          </x14:cfRule>
          <xm:sqref>A4 A10 A12 A14 A16 A18 A20 A22 A24 A26 A28 A30 A32 A34 A36 A38 A40 A42 A44 A46 A48 A50 A52 A54 A56 A6 A8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55"/>
  <sheetViews>
    <sheetView showGridLines="0" zoomScaleNormal="100" workbookViewId="0">
      <pane ySplit="2" topLeftCell="A3" activePane="bottomLeft" state="frozen"/>
      <selection activeCell="A20" sqref="A20"/>
      <selection pane="bottomLeft" activeCell="A3" sqref="A3"/>
    </sheetView>
  </sheetViews>
  <sheetFormatPr defaultColWidth="12.625" defaultRowHeight="21" x14ac:dyDescent="0.35"/>
  <cols>
    <col min="1" max="1" width="30.375" style="4" customWidth="1"/>
    <col min="2" max="2" width="13.875" style="4" customWidth="1"/>
    <col min="3" max="7" width="10.125" style="4" customWidth="1"/>
    <col min="8" max="8" width="12.625" style="4"/>
  </cols>
  <sheetData>
    <row r="1" spans="1:8" ht="21" customHeight="1" x14ac:dyDescent="0.35">
      <c r="A1" s="10" t="s">
        <v>118</v>
      </c>
      <c r="B1" s="10"/>
      <c r="G1" s="111"/>
      <c r="H1"/>
    </row>
    <row r="2" spans="1:8" ht="21" customHeight="1" x14ac:dyDescent="0.2">
      <c r="A2" s="19" t="s">
        <v>93</v>
      </c>
      <c r="B2" s="19" t="s">
        <v>94</v>
      </c>
      <c r="C2" s="195" t="s">
        <v>116</v>
      </c>
      <c r="D2" s="196" t="s">
        <v>101</v>
      </c>
      <c r="E2" s="195" t="s">
        <v>104</v>
      </c>
      <c r="F2" s="19" t="s">
        <v>95</v>
      </c>
      <c r="G2" s="19" t="s">
        <v>96</v>
      </c>
      <c r="H2"/>
    </row>
    <row r="3" spans="1:8" ht="21" customHeight="1" x14ac:dyDescent="0.35">
      <c r="A3" s="116" t="str">
        <f>HYPERLINK(IF($G$1="เปิด", "#พิเศษ!A" &amp; MATCH("คณะดนตรีและการแสดง", พิเศษ!A:A, 0), ""), IF($G$1="เปิด", "คณะดนตรีและการแสดง (ไปชีทพิเศษ)", "คณะดนตรีและการแสดง"))</f>
        <v>คณะดนตรีและการแสดง</v>
      </c>
      <c r="B3" s="190" t="s">
        <v>8</v>
      </c>
      <c r="C3" s="121">
        <f>HYPERLINK(IF($G$1="เปิด", "#'พิเศษ'!" &amp; ADDRESS(ROW(พิเศษ!D5), COLUMN(พิเศษ!D5), 4), ""), พิเศษ!D5)</f>
        <v>2.8</v>
      </c>
      <c r="D3" s="121">
        <f>HYPERLINK(IF($G$1="เปิด", "#'พิเศษ'!" &amp; ADDRESS(ROW(พิเศษ!H5), COLUMN(พิเศษ!H5), 4), ""), พิเศษ!H5)</f>
        <v>0</v>
      </c>
      <c r="E3" s="121">
        <f>HYPERLINK(IF($G$1="เปิด", "#'พิเศษ'!" &amp; ADDRESS(ROW(พิเศษ!L5), COLUMN(พิเศษ!L5), 4), ""), พิเศษ!L5)</f>
        <v>0</v>
      </c>
      <c r="F3" s="183">
        <f>HYPERLINK(IF($G$1="เปิด", "#'พิเศษ'!" &amp; ADDRESS(ROW(พิเศษ!P5), COLUMN(พิเศษ!P5), 4), ""), พิเศษ!P5)</f>
        <v>1.4</v>
      </c>
      <c r="G3" s="221">
        <f>SUM(F3:F4)</f>
        <v>1.4</v>
      </c>
      <c r="H3"/>
    </row>
    <row r="4" spans="1:8" ht="21" customHeight="1" x14ac:dyDescent="0.35">
      <c r="A4" s="222" t="str">
        <f>HYPERLINK(IF('รวมปกติ+พิเศษ'!$L$1="เปิด", "#'รวมปกติ+พิเศษ'!A" &amp; MATCH("คณะดนตรีและการแสดง", 'รวมปกติ+พิเศษ'!A:A, 0), "#A"&amp;ROW()), IF('รวมปกติ+พิเศษ'!$L$1="เปิด", "กลับรวมปกติ+พิเศษ", ""))</f>
        <v/>
      </c>
      <c r="B4" s="190" t="s">
        <v>97</v>
      </c>
      <c r="C4" s="218">
        <f>HYPERLINK(IF($G$1="เปิด", "#'พิเศษ'!" &amp; ADDRESS(ROW(พิเศษ!E6), COLUMN(พิเศษ!E6), 4) &amp; ":" &amp; ADDRESS(ROW(พิเศษ!E7), COLUMN(พิเศษ!E7), 4), ""), SUM(พิเศษ!E6:E7))</f>
        <v>0</v>
      </c>
      <c r="D4" s="218">
        <f>HYPERLINK(IF($G$1="เปิด", "#'พิเศษ'!" &amp; ADDRESS(ROW(พิเศษ!I6), COLUMN(พิเศษ!I6), 4) &amp; ":" &amp; ADDRESS(ROW(พิเศษ!I7), COLUMN(พิเศษ!I7), 4), ""), SUM(พิเศษ!I6:I7))</f>
        <v>0</v>
      </c>
      <c r="E4" s="218">
        <f>HYPERLINK(IF($G$1="เปิด", "#'พิเศษ'!" &amp; ADDRESS(ROW(พิเศษ!M6), COLUMN(พิเศษ!M6), 4) &amp; ":" &amp; ADDRESS(ROW(พิเศษ!M7), COLUMN(พิเศษ!M7), 4), ""), SUM(พิเศษ!M6:M7))</f>
        <v>0</v>
      </c>
      <c r="F4" s="219">
        <f>HYPERLINK(IF($G$1="เปิด", "#'พิเศษ'!" &amp; ADDRESS(ROW(พิเศษ!Q6), COLUMN(พิเศษ!Q6), 4) &amp; ":" &amp; ADDRESS(ROW(พิเศษ!Q7), COLUMN(พิเศษ!Q7), 4), ""), SUM(พิเศษ!Q6:Q7))</f>
        <v>0</v>
      </c>
      <c r="G4" s="220"/>
      <c r="H4"/>
    </row>
    <row r="5" spans="1:8" ht="21" customHeight="1" x14ac:dyDescent="0.35">
      <c r="A5" s="116" t="str">
        <f>HYPERLINK(IF($G$1="เปิด", "#พิเศษ!A" &amp; MATCH("คณะนิติศาสตร์", พิเศษ!A:A, 0), ""), IF($G$1="เปิด", "คณะนิติศาสตร์ (ไปชีทพิเศษ)", "คณะนิติศาสตร์"))</f>
        <v>คณะนิติศาสตร์</v>
      </c>
      <c r="B5" s="5" t="s">
        <v>8</v>
      </c>
      <c r="C5" s="121">
        <f>HYPERLINK(IF($G$1="เปิด", "#'พิเศษ'!" &amp; ADDRESS(ROW(พิเศษ!D9), COLUMN(พิเศษ!D9), 4), ""), พิเศษ!D9)</f>
        <v>15.94</v>
      </c>
      <c r="D5" s="121">
        <f>HYPERLINK(IF($G$1="เปิด", "#'พิเศษ'!" &amp; ADDRESS(ROW(พิเศษ!H9), COLUMN(พิเศษ!H9), 4), ""), พิเศษ!H9)</f>
        <v>0</v>
      </c>
      <c r="E5" s="121">
        <f>HYPERLINK(IF($G$1="เปิด", "#'พิเศษ'!" &amp; ADDRESS(ROW(พิเศษ!L9), COLUMN(พิเศษ!L9), 4), ""), พิเศษ!L9)</f>
        <v>0</v>
      </c>
      <c r="F5" s="183">
        <f>HYPERLINK(IF($G$1="เปิด", "#'พิเศษ'!" &amp; ADDRESS(ROW(พิเศษ!P9), COLUMN(พิเศษ!P9), 4), ""), พิเศษ!P9)</f>
        <v>7.97</v>
      </c>
      <c r="G5" s="221">
        <f>SUM(F5:F6)</f>
        <v>7.97</v>
      </c>
      <c r="H5"/>
    </row>
    <row r="6" spans="1:8" ht="21" customHeight="1" x14ac:dyDescent="0.35">
      <c r="A6" s="222" t="str">
        <f>HYPERLINK(IF('รวมปกติ+พิเศษ'!$L$1="เปิด", "#'รวมปกติ+พิเศษ'!A" &amp; MATCH("คณะบริหารธุรกิจ", 'รวมปกติ+พิเศษ'!A:A, 0), "#A"&amp;ROW()), IF('รวมปกติ+พิเศษ'!$L$1="เปิด", "กลับรวมปกติ+พิเศษ", ""))</f>
        <v/>
      </c>
      <c r="B6" s="190" t="s">
        <v>97</v>
      </c>
      <c r="C6" s="218">
        <f>HYPERLINK(IF($G$1="เปิด", "#'พิเศษ'!" &amp; ADDRESS(ROW(พิเศษ!E10), COLUMN(พิเศษ!E10), 4) &amp; ":" &amp; ADDRESS(ROW(พิเศษ!E11), COLUMN(พิเศษ!E11), 4), ""), SUM(พิเศษ!E10:E11))</f>
        <v>0</v>
      </c>
      <c r="D6" s="218">
        <f>HYPERLINK(IF($G$1="เปิด", "#'พิเศษ'!" &amp; ADDRESS(ROW(พิเศษ!I10), COLUMN(พิเศษ!I10), 4) &amp; ":" &amp; ADDRESS(ROW(พิเศษ!I11), COLUMN(พิเศษ!I11), 4), ""), SUM(พิเศษ!I10:I11))</f>
        <v>0</v>
      </c>
      <c r="E6" s="218">
        <f>HYPERLINK(IF($G$1="เปิด", "#'พิเศษ'!" &amp; ADDRESS(ROW(พิเศษ!M10), COLUMN(พิเศษ!M10), 4) &amp; ":" &amp; ADDRESS(ROW(พิเศษ!M11), COLUMN(พิเศษ!M11), 4), ""), SUM(พิเศษ!M10:M11))</f>
        <v>0</v>
      </c>
      <c r="F6" s="219">
        <f>HYPERLINK(IF($G$1="เปิด", "#'พิเศษ'!" &amp; ADDRESS(ROW(พิเศษ!Q10), COLUMN(พิเศษ!Q10), 4) &amp; ":" &amp; ADDRESS(ROW(พิเศษ!Q11), COLUMN(พิเศษ!Q11), 4), ""), SUM(พิเศษ!Q10:Q11))</f>
        <v>0</v>
      </c>
      <c r="G6" s="220"/>
      <c r="H6"/>
    </row>
    <row r="7" spans="1:8" ht="21" customHeight="1" x14ac:dyDescent="0.35">
      <c r="A7" s="116" t="str">
        <f>HYPERLINK(IF($G$1="เปิด", "#พิเศษ!A" &amp; MATCH("คณะบริหารธุรกิจ", พิเศษ!A:A, 0), ""), IF($G$1="เปิด", "คณะบริหารธุรกิจ (ไปชีทพิเศษ)", "คณะบริหารธุรกิจ"))</f>
        <v>คณะบริหารธุรกิจ</v>
      </c>
      <c r="B7" s="5" t="s">
        <v>8</v>
      </c>
      <c r="C7" s="121">
        <f>HYPERLINK(IF($G$1="เปิด", "#'พิเศษ'!" &amp; ADDRESS(ROW(พิเศษ!D13), COLUMN(พิเศษ!D13), 4), ""), พิเศษ!D13)</f>
        <v>1161.94</v>
      </c>
      <c r="D7" s="121">
        <f>HYPERLINK(IF($G$1="เปิด", "#'พิเศษ'!" &amp; ADDRESS(ROW(พิเศษ!H13), COLUMN(พิเศษ!H13), 4), ""), พิเศษ!H13)</f>
        <v>1380.5</v>
      </c>
      <c r="E7" s="121">
        <f>HYPERLINK(IF($G$1="เปิด", "#'พิเศษ'!" &amp; ADDRESS(ROW(พิเศษ!L13), COLUMN(พิเศษ!L13), 4), ""), พิเศษ!L13)</f>
        <v>1</v>
      </c>
      <c r="F7" s="183">
        <f>HYPERLINK(IF($G$1="เปิด", "#'พิเศษ'!" &amp; ADDRESS(ROW(พิเศษ!P13), COLUMN(พิเศษ!P13), 4), ""), พิเศษ!P13)</f>
        <v>1271.72</v>
      </c>
      <c r="G7" s="221">
        <f>SUM(F7:F8)</f>
        <v>1447.904</v>
      </c>
      <c r="H7"/>
    </row>
    <row r="8" spans="1:8" ht="21" customHeight="1" x14ac:dyDescent="0.35">
      <c r="A8" s="222" t="str">
        <f>HYPERLINK(IF('รวมปกติ+พิเศษ'!$L$1="เปิด", "#'รวมปกติ+พิเศษ'!A" &amp; MATCH("คณะบริหารธุรกิจ", 'รวมปกติ+พิเศษ'!A:A, 0), "#A"&amp;ROW()), IF('รวมปกติ+พิเศษ'!$L$1="เปิด", "กลับรวมปกติ+พิเศษ", ""))</f>
        <v/>
      </c>
      <c r="B8" s="190" t="s">
        <v>97</v>
      </c>
      <c r="C8" s="218">
        <f>HYPERLINK(IF($G$1="เปิด", "#'พิเศษ'!" &amp; ADDRESS(ROW(พิเศษ!E14), COLUMN(พิเศษ!E14), 4) &amp; ":" &amp; ADDRESS(ROW(พิเศษ!E15), COLUMN(พิเศษ!E15), 4), ""), SUM(พิเศษ!E14:E15))</f>
        <v>185.4</v>
      </c>
      <c r="D8" s="218">
        <f>HYPERLINK(IF($G$1="เปิด", "#'พิเศษ'!" &amp; ADDRESS(ROW(พิเศษ!I14), COLUMN(พิเศษ!I14), 4) &amp; ":" &amp; ADDRESS(ROW(พิเศษ!I15), COLUMN(พิเศษ!I15), 4), ""), SUM(พิเศษ!I14:I15))</f>
        <v>162.45000000000002</v>
      </c>
      <c r="E8" s="218">
        <f>HYPERLINK(IF($G$1="เปิด", "#'พิเศษ'!" &amp; ADDRESS(ROW(พิเศษ!M14), COLUMN(พิเศษ!M14), 4) &amp; ":" &amp; ADDRESS(ROW(พิเศษ!M15), COLUMN(พิเศษ!M15), 4), ""), SUM(พิเศษ!M14:M15))</f>
        <v>4.5</v>
      </c>
      <c r="F8" s="219">
        <f>HYPERLINK(IF($G$1="เปิด", "#'พิเศษ'!" &amp; ADDRESS(ROW(พิเศษ!Q14), COLUMN(พิเศษ!Q14), 4) &amp; ":" &amp; ADDRESS(ROW(พิเศษ!Q15), COLUMN(พิเศษ!Q15), 4), ""), SUM(พิเศษ!Q14:Q15))</f>
        <v>176.18400000000003</v>
      </c>
      <c r="G8" s="220"/>
      <c r="H8"/>
    </row>
    <row r="9" spans="1:8" ht="21" customHeight="1" x14ac:dyDescent="0.35">
      <c r="A9" s="116" t="str">
        <f>HYPERLINK(IF($G$1="เปิด", "#พิเศษ!A" &amp; MATCH("คณะพยาบาลศาสตร์", พิเศษ!A:A, 0), ""), IF($G$1="เปิด", "คณะพยาบาลศาสตร์ (ไปชีทพิเศษ)", "คณะพยาบาลศาสตร์"))</f>
        <v>คณะพยาบาลศาสตร์</v>
      </c>
      <c r="B9" s="5" t="s">
        <v>8</v>
      </c>
      <c r="C9" s="121">
        <f>HYPERLINK(IF($G$1="เปิด", "#'พิเศษ'!" &amp; ADDRESS(ROW(พิเศษ!D17), COLUMN(พิเศษ!D17), 4), ""), พิเศษ!D17)</f>
        <v>0</v>
      </c>
      <c r="D9" s="121">
        <f>HYPERLINK(IF($G$1="เปิด", "#'พิเศษ'!" &amp; ADDRESS(ROW(พิเศษ!H17), COLUMN(พิเศษ!H17), 4), ""), พิเศษ!H17)</f>
        <v>0</v>
      </c>
      <c r="E9" s="121">
        <f>HYPERLINK(IF($G$1="เปิด", "#'พิเศษ'!" &amp; ADDRESS(ROW(พิเศษ!L17), COLUMN(พิเศษ!L17), 4), ""), พิเศษ!L17)</f>
        <v>0</v>
      </c>
      <c r="F9" s="183">
        <f>HYPERLINK(IF($G$1="เปิด", "#'พิเศษ'!" &amp; ADDRESS(ROW(พิเศษ!P17), COLUMN(พิเศษ!P17), 4), ""), พิเศษ!P17)</f>
        <v>0</v>
      </c>
      <c r="G9" s="221">
        <f>SUM(F9:F10)</f>
        <v>82.79</v>
      </c>
      <c r="H9"/>
    </row>
    <row r="10" spans="1:8" ht="21" customHeight="1" x14ac:dyDescent="0.35">
      <c r="A10" s="222" t="str">
        <f>HYPERLINK(IF('รวมปกติ+พิเศษ'!$L$1="เปิด", "#'รวมปกติ+พิเศษ'!A" &amp; MATCH("คณะพยาบาลศาสตร์", 'รวมปกติ+พิเศษ'!A:A, 0), "#A"&amp;ROW()), IF('รวมปกติ+พิเศษ'!$L$1="เปิด", "กลับรวมปกติ+พิเศษ", ""))</f>
        <v/>
      </c>
      <c r="B10" s="190" t="s">
        <v>97</v>
      </c>
      <c r="C10" s="218">
        <f>HYPERLINK(IF($G$1="เปิด", "#'พิเศษ'!" &amp; ADDRESS(ROW(พิเศษ!E18), COLUMN(พิเศษ!E18), 4) &amp; ":" &amp; ADDRESS(ROW(พิเศษ!E19), COLUMN(พิเศษ!E19), 4), ""), SUM(พิเศษ!E18:E19))</f>
        <v>100.25</v>
      </c>
      <c r="D10" s="218">
        <f>HYPERLINK(IF($G$1="เปิด", "#'พิเศษ'!" &amp; ADDRESS(ROW(พิเศษ!I18), COLUMN(พิเศษ!I18), 4) &amp; ":" &amp; ADDRESS(ROW(พิเศษ!I19), COLUMN(พิเศษ!I19), 4), ""), SUM(พิเศษ!I18:I19))</f>
        <v>65.33</v>
      </c>
      <c r="E10" s="218">
        <f>HYPERLINK(IF($G$1="เปิด", "#'พิเศษ'!" &amp; ADDRESS(ROW(พิเศษ!M18), COLUMN(พิเศษ!M18), 4) &amp; ":" &amp; ADDRESS(ROW(พิเศษ!M19), COLUMN(พิเศษ!M19), 4), ""), SUM(พิเศษ!M18:M19))</f>
        <v>0</v>
      </c>
      <c r="F10" s="219">
        <f>HYPERLINK(IF($G$1="เปิด", "#'พิเศษ'!" &amp; ADDRESS(ROW(พิเศษ!Q18), COLUMN(พิเศษ!Q18), 4) &amp; ":" &amp; ADDRESS(ROW(พิเศษ!Q19), COLUMN(พิเศษ!Q19), 4), ""), SUM(พิเศษ!Q18:Q19))</f>
        <v>82.79</v>
      </c>
      <c r="G10" s="220"/>
      <c r="H10"/>
    </row>
    <row r="11" spans="1:8" ht="21" customHeight="1" x14ac:dyDescent="0.35">
      <c r="A11" s="127" t="str">
        <f>HYPERLINK(IF($G$1="เปิด", "#พิเศษ!A" &amp; MATCH("คณะแพทยศาสตร์", พิเศษ!A:A, 0), ""), IF($G$1="เปิด", "คณะแพทยศาสตร์ (ไปชีทพิเศษ)", "คณะแพทยศาสตร์"))</f>
        <v>คณะแพทยศาสตร์</v>
      </c>
      <c r="B11" s="5" t="s">
        <v>8</v>
      </c>
      <c r="C11" s="121">
        <f>HYPERLINK(IF($G$1="เปิด", "#'พิเศษ'!" &amp; ADDRESS(ROW(พิเศษ!D48), COLUMN(พิเศษ!D48), 4), ""), พิเศษ!D48)</f>
        <v>24.92</v>
      </c>
      <c r="D11" s="121">
        <f>HYPERLINK(IF($G$1="เปิด", "#'พิเศษ'!" &amp; ADDRESS(ROW(พิเศษ!H48), COLUMN(พิเศษ!H48), 4), ""), พิเศษ!H48)</f>
        <v>2.11</v>
      </c>
      <c r="E11" s="121">
        <f>HYPERLINK(IF($G$1="เปิด", "#'พิเศษ'!" &amp; ADDRESS(ROW(พิเศษ!L48), COLUMN(พิเศษ!L48), 4), ""), พิเศษ!L48)</f>
        <v>0</v>
      </c>
      <c r="F11" s="183">
        <f>HYPERLINK(IF($G$1="เปิด", "#'พิเศษ'!" &amp; ADDRESS(ROW(พิเศษ!P48), COLUMN(พิเศษ!P48), 4), ""), พิเศษ!P48)</f>
        <v>13.51</v>
      </c>
      <c r="G11" s="221">
        <f>SUM(F11:F12)</f>
        <v>13.51</v>
      </c>
      <c r="H11"/>
    </row>
    <row r="12" spans="1:8" ht="21" customHeight="1" x14ac:dyDescent="0.35">
      <c r="A12" s="222" t="str">
        <f>HYPERLINK(IF('รวมปกติ+พิเศษ'!$L$1="เปิด", "#'รวมปกติ+พิเศษ'!A" &amp; MATCH("คณะแพทยศาสตร์", 'รวมปกติ+พิเศษ'!A:A, 0), "#A"&amp;ROW()), IF('รวมปกติ+พิเศษ'!$L$1="เปิด", "กลับรวมปกติ+พิเศษ", ""))</f>
        <v/>
      </c>
      <c r="B12" s="190" t="s">
        <v>97</v>
      </c>
      <c r="C12" s="218">
        <f>HYPERLINK(IF($G$1="เปิด", "#'พิเศษ'!" &amp; ADDRESS(ROW(พิเศษ!E49), COLUMN(พิเศษ!E49), 4) &amp; ":" &amp; ADDRESS(ROW(พิเศษ!E50), COLUMN(พิเศษ!E50), 4), ""), SUM(พิเศษ!E49:E50))</f>
        <v>0</v>
      </c>
      <c r="D12" s="218">
        <f>HYPERLINK(IF($G$1="เปิด", "#'พิเศษ'!" &amp; ADDRESS(ROW(พิเศษ!I49), COLUMN(พิเศษ!I49), 4) &amp; ":" &amp; ADDRESS(ROW(พิเศษ!I50), COLUMN(พิเศษ!I50), 4), ""), SUM(พิเศษ!I49:I50))</f>
        <v>0</v>
      </c>
      <c r="E12" s="218">
        <f>HYPERLINK(IF($G$1="เปิด", "#'พิเศษ'!" &amp; ADDRESS(ROW(พิเศษ!M49), COLUMN(พิเศษ!M49), 4) &amp; ":" &amp; ADDRESS(ROW(พิเศษ!M50), COLUMN(พิเศษ!M50), 4), ""), SUM(พิเศษ!M49:M50))</f>
        <v>0</v>
      </c>
      <c r="F12" s="219">
        <f>HYPERLINK(IF($G$1="เปิด", "#'พิเศษ'!" &amp; ADDRESS(ROW(พิเศษ!Q49), COLUMN(พิเศษ!Q49), 4) &amp; ":" &amp; ADDRESS(ROW(พิเศษ!Q50), COLUMN(พิเศษ!Q50), 4), ""), SUM(พิเศษ!Q49:Q50))</f>
        <v>0</v>
      </c>
      <c r="G12" s="220"/>
      <c r="H12"/>
    </row>
    <row r="13" spans="1:8" ht="21" customHeight="1" x14ac:dyDescent="0.35">
      <c r="A13" s="127" t="str">
        <f>HYPERLINK(IF($G$1="เปิด", "#พิเศษ!A" &amp; MATCH("คณะภูมิสารสนเทศศาสตร์", พิเศษ!A:A, 0), ""), IF($G$1="เปิด", "คณะภูมิสารสนเทศศาสตร์ (ไปชีทพิเศษ)", "คณะภูมิสารสนเทศศาสตร์"))</f>
        <v>คณะภูมิสารสนเทศศาสตร์</v>
      </c>
      <c r="B13" s="9" t="s">
        <v>8</v>
      </c>
      <c r="C13" s="121">
        <f>HYPERLINK(IF($G$1="เปิด", "#'พิเศษ'!" &amp; ADDRESS(ROW(พิเศษ!D52), COLUMN(พิเศษ!D52), 4), ""), พิเศษ!D52)</f>
        <v>0</v>
      </c>
      <c r="D13" s="121">
        <f>HYPERLINK(IF($G$1="เปิด", "#'พิเศษ'!" &amp; ADDRESS(ROW(พิเศษ!H52), COLUMN(พิเศษ!H52), 4), ""), พิเศษ!H52)</f>
        <v>5.67</v>
      </c>
      <c r="E13" s="121">
        <f>HYPERLINK(IF($G$1="เปิด", "#'พิเศษ'!" &amp; ADDRESS(ROW(พิเศษ!L52), COLUMN(พิเศษ!L52), 4), ""), พิเศษ!L52)</f>
        <v>0</v>
      </c>
      <c r="F13" s="183">
        <f>HYPERLINK(IF($G$1="เปิด", "#'พิเศษ'!" &amp; ADDRESS(ROW(พิเศษ!P52), COLUMN(พิเศษ!P52), 4), ""), พิเศษ!P52)</f>
        <v>2.83</v>
      </c>
      <c r="G13" s="221">
        <f>SUM(F13:F14)</f>
        <v>2.83</v>
      </c>
      <c r="H13"/>
    </row>
    <row r="14" spans="1:8" ht="21" customHeight="1" x14ac:dyDescent="0.35">
      <c r="A14" s="222" t="str">
        <f>HYPERLINK(IF('รวมปกติ+พิเศษ'!$L$1="เปิด", "#'รวมปกติ+พิเศษ'!A" &amp; MATCH("คณะภูมิสารสนเทศศาสตร์", 'รวมปกติ+พิเศษ'!A:A, 0), "#A"&amp;ROW()), IF('รวมปกติ+พิเศษ'!$L$1="เปิด", "กลับรวมปกติ+พิเศษ", ""))</f>
        <v/>
      </c>
      <c r="B14" s="190" t="s">
        <v>97</v>
      </c>
      <c r="C14" s="218">
        <f>HYPERLINK(IF($G$1="เปิด", "#'พิเศษ'!" &amp; ADDRESS(ROW(พิเศษ!E53), COLUMN(พิเศษ!E53), 4) &amp; ":" &amp; ADDRESS(ROW(พิเศษ!E54), COLUMN(พิเศษ!E54), 4), ""), SUM(พิเศษ!E53:E54))</f>
        <v>0</v>
      </c>
      <c r="D14" s="218">
        <f>HYPERLINK(IF($G$1="เปิด", "#'พิเศษ'!" &amp; ADDRESS(ROW(พิเศษ!I53), COLUMN(พิเศษ!I53), 4) &amp; ":" &amp; ADDRESS(ROW(พิเศษ!I54), COLUMN(พิเศษ!I54), 4), ""), SUM(พิเศษ!I53:I54))</f>
        <v>0</v>
      </c>
      <c r="E14" s="218">
        <f>HYPERLINK(IF($G$1="เปิด", "#'พิเศษ'!" &amp; ADDRESS(ROW(พิเศษ!M53), COLUMN(พิเศษ!M53), 4) &amp; ":" &amp; ADDRESS(ROW(พิเศษ!M54), COLUMN(พิเศษ!M54), 4), ""), SUM(พิเศษ!M53:M54))</f>
        <v>0</v>
      </c>
      <c r="F14" s="219">
        <f>HYPERLINK(IF($G$1="เปิด", "#'พิเศษ'!" &amp; ADDRESS(ROW(พิเศษ!Q53), COLUMN(พิเศษ!Q53), 4) &amp; ":" &amp; ADDRESS(ROW(พิเศษ!Q54), COLUMN(พิเศษ!Q54), 4), ""), SUM(พิเศษ!Q53:Q54))</f>
        <v>0</v>
      </c>
      <c r="G14" s="220"/>
      <c r="H14"/>
    </row>
    <row r="15" spans="1:8" ht="21" customHeight="1" x14ac:dyDescent="0.35">
      <c r="A15" s="127" t="str">
        <f>HYPERLINK(IF($G$1="เปิด", "#พิเศษ!A" &amp; MATCH("คณะเภสัชศาสตร์", พิเศษ!A:A, 0), ""), IF($G$1="เปิด", "คณะเภสัชศาสตร์ (ไปชีทพิเศษ)", "คณะเภสัชศาสตร์"))</f>
        <v>คณะเภสัชศาสตร์</v>
      </c>
      <c r="B15" s="9" t="s">
        <v>8</v>
      </c>
      <c r="C15" s="121">
        <f>HYPERLINK(IF($G$1="เปิด", "#'พิเศษ'!" &amp; ADDRESS(ROW(พิเศษ!D56), COLUMN(พิเศษ!D56), 4), ""), พิเศษ!D56)</f>
        <v>26.29</v>
      </c>
      <c r="D15" s="121">
        <f>HYPERLINK(IF($G$1="เปิด", "#'พิเศษ'!" &amp; ADDRESS(ROW(พิเศษ!H56), COLUMN(พิเศษ!H56), 4), ""), พิเศษ!H56)</f>
        <v>2.11</v>
      </c>
      <c r="E15" s="121">
        <f>HYPERLINK(IF($G$1="เปิด", "#'พิเศษ'!" &amp; ADDRESS(ROW(พิเศษ!L56), COLUMN(พิเศษ!L56), 4), ""), พิเศษ!L56)</f>
        <v>0</v>
      </c>
      <c r="F15" s="183">
        <f>HYPERLINK(IF($G$1="เปิด", "#'พิเศษ'!" &amp; ADDRESS(ROW(พิเศษ!P56), COLUMN(พิเศษ!P56), 4), ""), พิเศษ!P56)</f>
        <v>14.2</v>
      </c>
      <c r="G15" s="221">
        <f>SUM(F15:F16)</f>
        <v>14.2</v>
      </c>
      <c r="H15"/>
    </row>
    <row r="16" spans="1:8" ht="21" customHeight="1" x14ac:dyDescent="0.35">
      <c r="A16" s="222" t="str">
        <f>HYPERLINK(IF('รวมปกติ+พิเศษ'!$L$1="เปิด", "#'รวมปกติ+พิเศษ'!A" &amp; MATCH("คณะเภสัชศาสตร์", 'รวมปกติ+พิเศษ'!A:A, 0), "#A"&amp;ROW()), IF('รวมปกติ+พิเศษ'!$L$1="เปิด", "กลับรวมปกติ+พิเศษ", ""))</f>
        <v/>
      </c>
      <c r="B16" s="190" t="s">
        <v>97</v>
      </c>
      <c r="C16" s="218">
        <f>HYPERLINK(IF($G$1="เปิด", "#'พิเศษ'!" &amp; ADDRESS(ROW(พิเศษ!E57), COLUMN(พิเศษ!E57), 4) &amp; ":" &amp; ADDRESS(ROW(พิเศษ!E58), COLUMN(พิเศษ!E58), 4), ""), SUM(พิเศษ!E57:E58))</f>
        <v>0</v>
      </c>
      <c r="D16" s="218">
        <f>HYPERLINK(IF($G$1="เปิด", "#'พิเศษ'!" &amp; ADDRESS(ROW(พิเศษ!I57), COLUMN(พิเศษ!I57), 4) &amp; ":" &amp; ADDRESS(ROW(พิเศษ!I58), COLUMN(พิเศษ!I58), 4), ""), SUM(พิเศษ!I57:I58))</f>
        <v>0</v>
      </c>
      <c r="E16" s="218">
        <f>HYPERLINK(IF($G$1="เปิด", "#'พิเศษ'!" &amp; ADDRESS(ROW(พิเศษ!M57), COLUMN(พิเศษ!M57), 4) &amp; ":" &amp; ADDRESS(ROW(พิเศษ!M58), COLUMN(พิเศษ!M58), 4), ""), SUM(พิเศษ!M57:M58))</f>
        <v>0</v>
      </c>
      <c r="F16" s="219">
        <f>HYPERLINK(IF($G$1="เปิด", "#'พิเศษ'!" &amp; ADDRESS(ROW(พิเศษ!Q57), COLUMN(พิเศษ!Q57), 4) &amp; ":" &amp; ADDRESS(ROW(พิเศษ!Q58), COLUMN(พิเศษ!Q58), 4), ""), SUM(พิเศษ!Q57:Q58))</f>
        <v>0</v>
      </c>
      <c r="G16" s="220"/>
      <c r="H16"/>
    </row>
    <row r="17" spans="1:8" ht="21" customHeight="1" x14ac:dyDescent="0.35">
      <c r="A17" s="127" t="str">
        <f>HYPERLINK(IF($G$1="เปิด", "#พิเศษ!A" &amp; MATCH("คณะมนุษยศาสตร์และสังคมศาสตร์", พิเศษ!A:A, 0), ""), IF($G$1="เปิด", "คณะมนุษยศาสตร์และสังคมศาสตร์ (ไปชีทพิเศษ)", "คณะมนุษยศาสตร์และสังคมศาสตร์"))</f>
        <v>คณะมนุษยศาสตร์และสังคมศาสตร์</v>
      </c>
      <c r="B17" s="5" t="s">
        <v>8</v>
      </c>
      <c r="C17" s="121">
        <f>HYPERLINK(IF($G$1="เปิด", "#'พิเศษ'!" &amp; ADDRESS(ROW(พิเศษ!D93), COLUMN(พิเศษ!D93), 4), ""), พิเศษ!D93)</f>
        <v>252.77</v>
      </c>
      <c r="D17" s="121">
        <f>HYPERLINK(IF($G$1="เปิด", "#'พิเศษ'!" &amp; ADDRESS(ROW(พิเศษ!H93), COLUMN(พิเศษ!H93), 4), ""), พิเศษ!H93)</f>
        <v>393.44</v>
      </c>
      <c r="E17" s="121">
        <f>HYPERLINK(IF($G$1="เปิด", "#'พิเศษ'!" &amp; ADDRESS(ROW(พิเศษ!L93), COLUMN(พิเศษ!L93), 4), ""), พิเศษ!L93)</f>
        <v>86.5</v>
      </c>
      <c r="F17" s="183">
        <f>HYPERLINK(IF($G$1="เปิด", "#'พิเศษ'!" &amp; ADDRESS(ROW(พิเศษ!P93), COLUMN(พิเศษ!P93), 4), ""), พิเศษ!P93)</f>
        <v>366.36</v>
      </c>
      <c r="G17" s="221">
        <f>SUM(F17:F18)</f>
        <v>391.11</v>
      </c>
      <c r="H17"/>
    </row>
    <row r="18" spans="1:8" ht="21" customHeight="1" x14ac:dyDescent="0.35">
      <c r="A18" s="222" t="str">
        <f>HYPERLINK(IF('รวมปกติ+พิเศษ'!$L$1="เปิด", "#'รวมปกติ+พิเศษ'!A" &amp; MATCH("คณะมนุษยศาสตร์และสังคมศาสตร์", 'รวมปกติ+พิเศษ'!A:A, 0), "#A"&amp;ROW()), IF('รวมปกติ+พิเศษ'!$L$1="เปิด", "กลับรวมปกติ+พิเศษ", ""))</f>
        <v/>
      </c>
      <c r="B18" s="190" t="s">
        <v>97</v>
      </c>
      <c r="C18" s="218">
        <f>HYPERLINK(IF($G$1="เปิด", "#'พิเศษ'!" &amp; ADDRESS(ROW(พิเศษ!E94), COLUMN(พิเศษ!E94), 4) &amp; ":" &amp; ADDRESS(ROW(พิเศษ!E95), COLUMN(พิเศษ!E95), 4), ""), SUM(พิเศษ!E94:E95))</f>
        <v>21.150000000000002</v>
      </c>
      <c r="D18" s="218">
        <f>HYPERLINK(IF($G$1="เปิด", "#'พิเศษ'!" &amp; ADDRESS(ROW(พิเศษ!I94), COLUMN(พิเศษ!I94), 4) &amp; ":" &amp; ADDRESS(ROW(พิเศษ!I95), COLUMN(พิเศษ!I95), 4), ""), SUM(พิเศษ!I94:I95))</f>
        <v>28.35</v>
      </c>
      <c r="E18" s="218">
        <f>HYPERLINK(IF($G$1="เปิด", "#'พิเศษ'!" &amp; ADDRESS(ROW(พิเศษ!M94), COLUMN(พิเศษ!M94), 4) &amp; ":" &amp; ADDRESS(ROW(พิเศษ!M95), COLUMN(พิเศษ!M95), 4), ""), SUM(พิเศษ!M94:M95))</f>
        <v>0</v>
      </c>
      <c r="F18" s="219">
        <f>HYPERLINK(IF($G$1="เปิด", "#'พิเศษ'!" &amp; ADDRESS(ROW(พิเศษ!Q94), COLUMN(พิเศษ!Q94), 4) &amp; ":" &amp; ADDRESS(ROW(พิเศษ!Q95), COLUMN(พิเศษ!Q95), 4), ""), SUM(พิเศษ!Q94:Q95))</f>
        <v>24.75</v>
      </c>
      <c r="G18" s="220"/>
      <c r="H18"/>
    </row>
    <row r="19" spans="1:8" ht="21" customHeight="1" x14ac:dyDescent="0.35">
      <c r="A19" s="127" t="str">
        <f>HYPERLINK(IF($G$1="เปิด", "#พิเศษ!A" &amp; MATCH("คณะรัฐศาสตร์และนิติศาสตร์", พิเศษ!A:A, 0), ""), IF($G$1="เปิด", "คณะรัฐศาสตร์และนิติศาสตร์ (ไปชีทพิเศษ)", "คณะรัฐศาสตร์และนิติศาสตร์"))</f>
        <v>คณะรัฐศาสตร์และนิติศาสตร์</v>
      </c>
      <c r="B19" s="5" t="s">
        <v>8</v>
      </c>
      <c r="C19" s="121">
        <f>HYPERLINK(IF($G$1="เปิด", "#'พิเศษ'!" &amp; ADDRESS(ROW(พิเศษ!D106), COLUMN(พิเศษ!D106), 4), ""), พิเศษ!D106)</f>
        <v>518.94000000000005</v>
      </c>
      <c r="D19" s="121">
        <f>HYPERLINK(IF($G$1="เปิด", "#'พิเศษ'!" &amp; ADDRESS(ROW(พิเศษ!H106), COLUMN(พิเศษ!H106), 4), ""), พิเศษ!H106)</f>
        <v>613.22</v>
      </c>
      <c r="E19" s="121">
        <f>HYPERLINK(IF($G$1="เปิด", "#'พิเศษ'!" &amp; ADDRESS(ROW(พิเศษ!L106), COLUMN(พิเศษ!L106), 4), ""), พิเศษ!L106)</f>
        <v>201.17</v>
      </c>
      <c r="F19" s="183">
        <f>HYPERLINK(IF($G$1="เปิด", "#'พิเศษ'!" &amp; ADDRESS(ROW(พิเศษ!P106), COLUMN(พิเศษ!P106), 4), ""), พิเศษ!P106)</f>
        <v>666.67</v>
      </c>
      <c r="G19" s="221">
        <f>SUM(F19:F20)</f>
        <v>861.66399999999999</v>
      </c>
      <c r="H19"/>
    </row>
    <row r="20" spans="1:8" ht="21" customHeight="1" x14ac:dyDescent="0.35">
      <c r="A20" s="222" t="str">
        <f>HYPERLINK(IF('รวมปกติ+พิเศษ'!$L$1="เปิด", "#'รวมปกติ+พิเศษ'!A" &amp; MATCH("คณะรัฐศาสตร์และนิติศาสตร์", 'รวมปกติ+พิเศษ'!A:A, 0), "#A"&amp;ROW()), IF('รวมปกติ+พิเศษ'!$L$1="เปิด", "กลับรวมปกติ+พิเศษ", ""))</f>
        <v/>
      </c>
      <c r="B20" s="190" t="s">
        <v>97</v>
      </c>
      <c r="C20" s="218">
        <f>HYPERLINK(IF($G$1="เปิด", "#'พิเศษ'!" &amp; ADDRESS(ROW(พิเศษ!E107), COLUMN(พิเศษ!E107), 4) &amp; ":" &amp; ADDRESS(ROW(พิเศษ!E108), COLUMN(พิเศษ!E108), 4), ""), SUM(พิเศษ!E107:E108))</f>
        <v>198.30600000000001</v>
      </c>
      <c r="D20" s="218">
        <f>HYPERLINK(IF($G$1="เปิด", "#'พิเศษ'!" &amp; ADDRESS(ROW(พิเศษ!I107), COLUMN(พิเศษ!I107), 4) &amp; ":" &amp; ADDRESS(ROW(พิเศษ!I108), COLUMN(พิเศษ!I108), 4), ""), SUM(พิเศษ!I107:I108))</f>
        <v>159.30000000000001</v>
      </c>
      <c r="E20" s="218">
        <f>HYPERLINK(IF($G$1="เปิด", "#'พิเศษ'!" &amp; ADDRESS(ROW(พิเศษ!M107), COLUMN(พิเศษ!M107), 4) &amp; ":" &amp; ADDRESS(ROW(พิเศษ!M108), COLUMN(พิเศษ!M108), 4), ""), SUM(พิเศษ!M107:M108))</f>
        <v>32.4</v>
      </c>
      <c r="F20" s="219">
        <f>HYPERLINK(IF($G$1="เปิด", "#'พิเศษ'!" &amp; ADDRESS(ROW(พิเศษ!Q107), COLUMN(พิเศษ!Q107), 4) &amp; ":" &amp; ADDRESS(ROW(พิเศษ!Q108), COLUMN(พิเศษ!Q108), 4), ""), SUM(พิเศษ!Q107:Q108))</f>
        <v>194.994</v>
      </c>
      <c r="G20" s="220"/>
      <c r="H20"/>
    </row>
    <row r="21" spans="1:8" ht="21" customHeight="1" x14ac:dyDescent="0.35">
      <c r="A21" s="127" t="str">
        <f>HYPERLINK(IF($G$1="เปิด", "#พิเศษ!A" &amp; MATCH("คณะโลจิสติกส์", พิเศษ!A:A, 0), ""), IF($G$1="เปิด", "คณะโลจิสติกส์ (ไปชีทพิเศษ)", "คณะโลจิสติกส์"))</f>
        <v>คณะโลจิสติกส์</v>
      </c>
      <c r="B21" s="5" t="s">
        <v>8</v>
      </c>
      <c r="C21" s="121">
        <f>HYPERLINK(IF($G$1="เปิด", "#'พิเศษ'!" &amp; ADDRESS(ROW(พิเศษ!D110), COLUMN(พิเศษ!D110), 4), ""), พิเศษ!D110)</f>
        <v>124.39</v>
      </c>
      <c r="D21" s="121">
        <f>HYPERLINK(IF($G$1="เปิด", "#'พิเศษ'!" &amp; ADDRESS(ROW(พิเศษ!H110), COLUMN(พิเศษ!H110), 4), ""), พิเศษ!H110)</f>
        <v>79.11</v>
      </c>
      <c r="E21" s="121">
        <f>HYPERLINK(IF($G$1="เปิด", "#'พิเศษ'!" &amp; ADDRESS(ROW(พิเศษ!L110), COLUMN(พิเศษ!L110), 4), ""), พิเศษ!L110)</f>
        <v>48.33</v>
      </c>
      <c r="F21" s="183">
        <f>HYPERLINK(IF($G$1="เปิด", "#'พิเศษ'!" &amp; ADDRESS(ROW(พิเศษ!P110), COLUMN(พิเศษ!P110), 4), ""), พิเศษ!P110)</f>
        <v>125.92</v>
      </c>
      <c r="G21" s="221">
        <f>SUM(F21:F22)</f>
        <v>203.68</v>
      </c>
      <c r="H21"/>
    </row>
    <row r="22" spans="1:8" ht="21" customHeight="1" x14ac:dyDescent="0.35">
      <c r="A22" s="222" t="str">
        <f>HYPERLINK(IF('รวมปกติ+พิเศษ'!$L$1="เปิด", "#'รวมปกติ+พิเศษ'!A" &amp; MATCH("คณะโลจิสติกส์", 'รวมปกติ+พิเศษ'!A:A, 0), "#A"&amp;ROW()), IF('รวมปกติ+พิเศษ'!$L$1="เปิด", "กลับรวมปกติ+พิเศษ", ""))</f>
        <v/>
      </c>
      <c r="B22" s="190" t="s">
        <v>97</v>
      </c>
      <c r="C22" s="218">
        <f>HYPERLINK(IF($G$1="เปิด", "#'พิเศษ'!" &amp; ADDRESS(ROW(พิเศษ!E111), COLUMN(พิเศษ!E111), 4) &amp; ":" &amp; ADDRESS(ROW(พิเศษ!E112), COLUMN(พิเศษ!E112), 4), ""), SUM(พิเศษ!E111:E112))</f>
        <v>80</v>
      </c>
      <c r="D22" s="218">
        <f>HYPERLINK(IF($G$1="เปิด", "#'พิเศษ'!" &amp; ADDRESS(ROW(พิเศษ!I111), COLUMN(พิเศษ!I111), 4) &amp; ":" &amp; ADDRESS(ROW(พิเศษ!I112), COLUMN(พิเศษ!I112), 4), ""), SUM(พิเศษ!I111:I112))</f>
        <v>60</v>
      </c>
      <c r="E22" s="218">
        <f>HYPERLINK(IF($G$1="เปิด", "#'พิเศษ'!" &amp; ADDRESS(ROW(พิเศษ!M111), COLUMN(พิเศษ!M111), 4) &amp; ":" &amp; ADDRESS(ROW(พิเศษ!M112), COLUMN(พิเศษ!M112), 4), ""), SUM(พิเศษ!M111:M112))</f>
        <v>15.5</v>
      </c>
      <c r="F22" s="219">
        <f>HYPERLINK(IF($G$1="เปิด", "#'พิเศษ'!" &amp; ADDRESS(ROW(พิเศษ!Q111), COLUMN(พิเศษ!Q111), 4) &amp; ":" &amp; ADDRESS(ROW(พิเศษ!Q112), COLUMN(พิเศษ!Q112), 4), ""), SUM(พิเศษ!Q111:Q112))</f>
        <v>77.760000000000005</v>
      </c>
      <c r="G22" s="220"/>
      <c r="H22"/>
    </row>
    <row r="23" spans="1:8" ht="21" customHeight="1" x14ac:dyDescent="0.35">
      <c r="A23" s="127" t="str">
        <f>HYPERLINK(IF($G$1="เปิด", "#พิเศษ!A" &amp; MATCH("คณะวิทยาการสารสนเทศ", พิเศษ!A:A, 0), ""), IF($G$1="เปิด", "คณะวิทยาการสารสนเทศ (ไปชีทพิเศษ)", "คณะวิทยาการสารสนเทศ"))</f>
        <v>คณะวิทยาการสารสนเทศ</v>
      </c>
      <c r="B23" s="9" t="s">
        <v>8</v>
      </c>
      <c r="C23" s="121">
        <f>HYPERLINK(IF($G$1="เปิด", "#'พิเศษ'!" &amp; ADDRESS(ROW(พิเศษ!D114), COLUMN(พิเศษ!D114), 4), ""), พิเศษ!D114)</f>
        <v>0</v>
      </c>
      <c r="D23" s="121">
        <f>HYPERLINK(IF($G$1="เปิด", "#'พิเศษ'!" &amp; ADDRESS(ROW(พิเศษ!H114), COLUMN(พิเศษ!H114), 4), ""), พิเศษ!H114)</f>
        <v>67.11</v>
      </c>
      <c r="E23" s="121">
        <f>HYPERLINK(IF($G$1="เปิด", "#'พิเศษ'!" &amp; ADDRESS(ROW(พิเศษ!L114), COLUMN(พิเศษ!L114), 4), ""), พิเศษ!L114)</f>
        <v>0</v>
      </c>
      <c r="F23" s="183">
        <f>HYPERLINK(IF($G$1="เปิด", "#'พิเศษ'!" &amp; ADDRESS(ROW(พิเศษ!P114), COLUMN(พิเศษ!P114), 4), ""), พิเศษ!P114)</f>
        <v>33.56</v>
      </c>
      <c r="G23" s="221">
        <f>SUM(F23:F24)</f>
        <v>33.56</v>
      </c>
      <c r="H23"/>
    </row>
    <row r="24" spans="1:8" ht="21" customHeight="1" x14ac:dyDescent="0.35">
      <c r="A24" s="222" t="str">
        <f>HYPERLINK(IF('รวมปกติ+พิเศษ'!$L$1="เปิด", "#'รวมปกติ+พิเศษ'!A" &amp; MATCH("คณะวิทยาการสารสนเทศ", 'รวมปกติ+พิเศษ'!A:A, 0), "#A"&amp;ROW()), IF('รวมปกติ+พิเศษ'!$L$1="เปิด", "กลับรวมปกติ+พิเศษ", ""))</f>
        <v/>
      </c>
      <c r="B24" s="190" t="s">
        <v>97</v>
      </c>
      <c r="C24" s="218">
        <f>HYPERLINK(IF($G$1="เปิด", "#'พิเศษ'!" &amp; ADDRESS(ROW(พิเศษ!E115), COLUMN(พิเศษ!E115), 4) &amp; ":" &amp; ADDRESS(ROW(พิเศษ!E116), COLUMN(พิเศษ!E116), 4), ""), SUM(พิเศษ!E115:E116))</f>
        <v>0</v>
      </c>
      <c r="D24" s="218">
        <f>HYPERLINK(IF($G$1="เปิด", "#'พิเศษ'!" &amp; ADDRESS(ROW(พิเศษ!I115), COLUMN(พิเศษ!I115), 4) &amp; ":" &amp; ADDRESS(ROW(พิเศษ!I116), COLUMN(พิเศษ!I116), 4), ""), SUM(พิเศษ!I115:I116))</f>
        <v>0</v>
      </c>
      <c r="E24" s="218">
        <f>HYPERLINK(IF($G$1="เปิด", "#'พิเศษ'!" &amp; ADDRESS(ROW(พิเศษ!M115), COLUMN(พิเศษ!M115), 4) &amp; ":" &amp; ADDRESS(ROW(พิเศษ!M116), COLUMN(พิเศษ!M116), 4), ""), SUM(พิเศษ!M115:M116))</f>
        <v>0</v>
      </c>
      <c r="F24" s="219">
        <f>HYPERLINK(IF($G$1="เปิด", "#'พิเศษ'!" &amp; ADDRESS(ROW(พิเศษ!Q115), COLUMN(พิเศษ!Q115), 4) &amp; ":" &amp; ADDRESS(ROW(พิเศษ!Q116), COLUMN(พิเศษ!Q116), 4), ""), SUM(พิเศษ!Q115:Q116))</f>
        <v>0</v>
      </c>
      <c r="G24" s="220"/>
      <c r="H24"/>
    </row>
    <row r="25" spans="1:8" ht="21" customHeight="1" x14ac:dyDescent="0.35">
      <c r="A25" s="127" t="str">
        <f>HYPERLINK(IF($G$1="เปิด", "#พิเศษ!A" &amp; MATCH("คณะวิทยาศาสตร์", พิเศษ!A:A, 0), ""), IF($G$1="เปิด", "คณะวิทยาศาสตร์ (ไปชีทพิเศษ)", "คณะวิทยาศาสตร์"))</f>
        <v>คณะวิทยาศาสตร์</v>
      </c>
      <c r="B25" s="5" t="s">
        <v>8</v>
      </c>
      <c r="C25" s="121">
        <f>HYPERLINK(IF($G$1="เปิด", "#'พิเศษ'!" &amp; ADDRESS(ROW(พิเศษ!D148), COLUMN(พิเศษ!D148), 4), ""), พิเศษ!D148)</f>
        <v>45.65</v>
      </c>
      <c r="D25" s="121">
        <f>HYPERLINK(IF($G$1="เปิด", "#'พิเศษ'!" &amp; ADDRESS(ROW(พิเศษ!H148), COLUMN(พิเศษ!H148), 4), ""), พิเศษ!H148)</f>
        <v>108.17</v>
      </c>
      <c r="E25" s="121">
        <f>HYPERLINK(IF($G$1="เปิด", "#'พิเศษ'!" &amp; ADDRESS(ROW(พิเศษ!L148), COLUMN(พิเศษ!L148), 4), ""), พิเศษ!L148)</f>
        <v>0</v>
      </c>
      <c r="F25" s="183">
        <f>HYPERLINK(IF($G$1="เปิด", "#'พิเศษ'!" &amp; ADDRESS(ROW(พิเศษ!P148), COLUMN(พิเศษ!P148), 4), ""), พิเศษ!P148)</f>
        <v>76.91</v>
      </c>
      <c r="G25" s="221">
        <f>SUM(F25:F26)</f>
        <v>83.67</v>
      </c>
      <c r="H25"/>
    </row>
    <row r="26" spans="1:8" ht="21" customHeight="1" x14ac:dyDescent="0.35">
      <c r="A26" s="222" t="str">
        <f>HYPERLINK(IF('รวมปกติ+พิเศษ'!$L$1="เปิด", "#'รวมปกติ+พิเศษ'!A" &amp; MATCH("คณะวิทยาศาสตร์", 'รวมปกติ+พิเศษ'!A:A, 0), "#A"&amp;ROW()), IF('รวมปกติ+พิเศษ'!$L$1="เปิด", "กลับรวมปกติ+พิเศษ", ""))</f>
        <v/>
      </c>
      <c r="B26" s="190" t="s">
        <v>97</v>
      </c>
      <c r="C26" s="218">
        <f>HYPERLINK(IF($G$1="เปิด", "#'พิเศษ'!" &amp; ADDRESS(ROW(พิเศษ!E149), COLUMN(พิเศษ!E149), 4) &amp; ":" &amp; ADDRESS(ROW(พิเศษ!E150), COLUMN(พิเศษ!E150), 4), ""), SUM(พิเศษ!E149:E150))</f>
        <v>2</v>
      </c>
      <c r="D26" s="218">
        <f>HYPERLINK(IF($G$1="เปิด", "#'พิเศษ'!" &amp; ADDRESS(ROW(พิเศษ!I149), COLUMN(พิเศษ!I149), 4) &amp; ":" &amp; ADDRESS(ROW(พิเศษ!I150), COLUMN(พิเศษ!I150), 4), ""), SUM(พิเศษ!I149:I150))</f>
        <v>1.5</v>
      </c>
      <c r="E26" s="218">
        <f>HYPERLINK(IF($G$1="เปิด", "#'พิเศษ'!" &amp; ADDRESS(ROW(พิเศษ!M149), COLUMN(พิเศษ!M149), 4) &amp; ":" &amp; ADDRESS(ROW(พิเศษ!M150), COLUMN(พิเศษ!M150), 4), ""), SUM(พิเศษ!M149:M150))</f>
        <v>10</v>
      </c>
      <c r="F26" s="219">
        <f>HYPERLINK(IF($G$1="เปิด", "#'พิเศษ'!" &amp; ADDRESS(ROW(พิเศษ!Q149), COLUMN(พิเศษ!Q149), 4) &amp; ":" &amp; ADDRESS(ROW(พิเศษ!Q150), COLUMN(พิเศษ!Q150), 4), ""), SUM(พิเศษ!Q149:Q150))</f>
        <v>6.76</v>
      </c>
      <c r="G26" s="220"/>
      <c r="H26"/>
    </row>
    <row r="27" spans="1:8" ht="21" customHeight="1" x14ac:dyDescent="0.35">
      <c r="A27" s="127" t="str">
        <f>HYPERLINK(IF($G$1="เปิด", "#พิเศษ!A" &amp; MATCH("คณะวิทยาศาสตร์การกีฬา", พิเศษ!A:A, 0), ""), IF($G$1="เปิด", "คณะวิทยาศาสตร์การกีฬา (ไปชีทพิเศษ)", "คณะวิทยาศาสตร์การกีฬา"))</f>
        <v>คณะวิทยาศาสตร์การกีฬา</v>
      </c>
      <c r="B27" s="5" t="s">
        <v>8</v>
      </c>
      <c r="C27" s="121">
        <f>HYPERLINK(IF($G$1="เปิด", "#'พิเศษ'!" &amp; ADDRESS(ROW(พิเศษ!D152), COLUMN(พิเศษ!D152), 4), ""), พิเศษ!D152)</f>
        <v>27.84</v>
      </c>
      <c r="D27" s="121">
        <f>HYPERLINK(IF($G$1="เปิด", "#'พิเศษ'!" &amp; ADDRESS(ROW(พิเศษ!H152), COLUMN(พิเศษ!H152), 4), ""), พิเศษ!H152)</f>
        <v>9.7200000000000006</v>
      </c>
      <c r="E27" s="121">
        <f>HYPERLINK(IF($G$1="เปิด", "#'พิเศษ'!" &amp; ADDRESS(ROW(พิเศษ!L152), COLUMN(พิเศษ!L152), 4), ""), พิเศษ!L152)</f>
        <v>0</v>
      </c>
      <c r="F27" s="183">
        <f>HYPERLINK(IF($G$1="เปิด", "#'พิเศษ'!" &amp; ADDRESS(ROW(พิเศษ!P152), COLUMN(พิเศษ!P152), 4), ""), พิเศษ!P152)</f>
        <v>18.78</v>
      </c>
      <c r="G27" s="221">
        <f>SUM(F27:F28)</f>
        <v>18.78</v>
      </c>
      <c r="H27"/>
    </row>
    <row r="28" spans="1:8" ht="21" customHeight="1" x14ac:dyDescent="0.35">
      <c r="A28" s="222" t="str">
        <f>HYPERLINK(IF('รวมปกติ+พิเศษ'!$L$1="เปิด", "#'รวมปกติ+พิเศษ'!A" &amp; MATCH("คณะวิทยาศาสตร์การกีฬา", 'รวมปกติ+พิเศษ'!A:A, 0), "#A"&amp;ROW()), IF('รวมปกติ+พิเศษ'!$L$1="เปิด", "กลับรวมปกติ+พิเศษ", ""))</f>
        <v/>
      </c>
      <c r="B28" s="190" t="s">
        <v>97</v>
      </c>
      <c r="C28" s="218">
        <f>HYPERLINK(IF($G$1="เปิด", "#'พิเศษ'!" &amp; ADDRESS(ROW(พิเศษ!E153), COLUMN(พิเศษ!E153), 4) &amp; ":" &amp; ADDRESS(ROW(พิเศษ!E154), COLUMN(พิเศษ!E154), 4), ""), SUM(พิเศษ!E153:E154))</f>
        <v>0</v>
      </c>
      <c r="D28" s="218">
        <f>HYPERLINK(IF($G$1="เปิด", "#'พิเศษ'!" &amp; ADDRESS(ROW(พิเศษ!I153), COLUMN(พิเศษ!I153), 4) &amp; ":" &amp; ADDRESS(ROW(พิเศษ!I154), COLUMN(พิเศษ!I154), 4), ""), SUM(พิเศษ!I153:I154))</f>
        <v>0</v>
      </c>
      <c r="E28" s="218">
        <f>HYPERLINK(IF($G$1="เปิด", "#'พิเศษ'!" &amp; ADDRESS(ROW(พิเศษ!M153), COLUMN(พิเศษ!M153), 4) &amp; ":" &amp; ADDRESS(ROW(พิเศษ!M154), COLUMN(พิเศษ!M154), 4), ""), SUM(พิเศษ!M153:M154))</f>
        <v>0</v>
      </c>
      <c r="F28" s="219">
        <f>HYPERLINK(IF($G$1="เปิด", "#'พิเศษ'!" &amp; ADDRESS(ROW(พิเศษ!Q153), COLUMN(พิเศษ!Q153), 4) &amp; ":" &amp; ADDRESS(ROW(พิเศษ!Q154), COLUMN(พิเศษ!Q154), 4), ""), SUM(พิเศษ!Q153:Q154))</f>
        <v>0</v>
      </c>
      <c r="G28" s="220"/>
      <c r="H28"/>
    </row>
    <row r="29" spans="1:8" ht="21" customHeight="1" x14ac:dyDescent="0.35">
      <c r="A29" s="127" t="str">
        <f>HYPERLINK(IF($G$1="เปิด", "#พิเศษ!A" &amp; MATCH("คณะวิศวกรรมศาสตร์", พิเศษ!A:A, 0), ""), IF($G$1="เปิด", "คณะวิศวกรรมศาสตร์ (ไปชีทพิเศษ)", "คณะวิศวกรรมศาสตร์"))</f>
        <v>คณะวิศวกรรมศาสตร์</v>
      </c>
      <c r="B29" s="5" t="s">
        <v>8</v>
      </c>
      <c r="C29" s="121">
        <f>HYPERLINK(IF($G$1="เปิด", "#'พิเศษ'!" &amp; ADDRESS(ROW(พิเศษ!D174), COLUMN(พิเศษ!D174), 4), ""), พิเศษ!D174)</f>
        <v>8.4600000000000009</v>
      </c>
      <c r="D29" s="121">
        <f>HYPERLINK(IF($G$1="เปิด", "#'พิเศษ'!" &amp; ADDRESS(ROW(พิเศษ!H174), COLUMN(พิเศษ!H174), 4), ""), พิเศษ!H174)</f>
        <v>28.61</v>
      </c>
      <c r="E29" s="121">
        <f>HYPERLINK(IF($G$1="เปิด", "#'พิเศษ'!" &amp; ADDRESS(ROW(พิเศษ!L174), COLUMN(พิเศษ!L174), 4), ""), พิเศษ!L174)</f>
        <v>0</v>
      </c>
      <c r="F29" s="183">
        <f>HYPERLINK(IF($G$1="เปิด", "#'พิเศษ'!" &amp; ADDRESS(ROW(พิเศษ!P174), COLUMN(พิเศษ!P174), 4), ""), พิเศษ!P174)</f>
        <v>18.53</v>
      </c>
      <c r="G29" s="221">
        <f>SUM(F29:F30)</f>
        <v>31.79</v>
      </c>
      <c r="H29"/>
    </row>
    <row r="30" spans="1:8" ht="21" customHeight="1" x14ac:dyDescent="0.35">
      <c r="A30" s="222" t="str">
        <f>HYPERLINK(IF('รวมปกติ+พิเศษ'!$L$1="เปิด", "#'รวมปกติ+พิเศษ'!A" &amp; MATCH("คณะวิศวกรรมศาสตร์", 'รวมปกติ+พิเศษ'!A:A, 0), "#A"&amp;ROW()), IF('รวมปกติ+พิเศษ'!$L$1="เปิด", "กลับรวมปกติ+พิเศษ", ""))</f>
        <v/>
      </c>
      <c r="B30" s="190" t="s">
        <v>97</v>
      </c>
      <c r="C30" s="218">
        <f>HYPERLINK(IF($G$1="เปิด", "#'พิเศษ'!" &amp; ADDRESS(ROW(พิเศษ!E175), COLUMN(พิเศษ!E175), 4) &amp; ":" &amp; ADDRESS(ROW(พิเศษ!E176), COLUMN(พิเศษ!E176), 4), ""), SUM(พิเศษ!E175:E176))</f>
        <v>11</v>
      </c>
      <c r="D30" s="218">
        <f>HYPERLINK(IF($G$1="เปิด", "#'พิเศษ'!" &amp; ADDRESS(ROW(พิเศษ!I175), COLUMN(พิเศษ!I175), 4) &amp; ":" &amp; ADDRESS(ROW(พิเศษ!I176), COLUMN(พิเศษ!I176), 4), ""), SUM(พิเศษ!I175:I176))</f>
        <v>15.5</v>
      </c>
      <c r="E30" s="218">
        <f>HYPERLINK(IF($G$1="เปิด", "#'พิเศษ'!" &amp; ADDRESS(ROW(พิเศษ!M175), COLUMN(พิเศษ!M175), 4) &amp; ":" &amp; ADDRESS(ROW(พิเศษ!M176), COLUMN(พิเศษ!M176), 4), ""), SUM(พิเศษ!M175:M176))</f>
        <v>0</v>
      </c>
      <c r="F30" s="219">
        <f>HYPERLINK(IF($G$1="เปิด", "#'พิเศษ'!" &amp; ADDRESS(ROW(พิเศษ!Q175), COLUMN(พิเศษ!Q175), 4) &amp; ":" &amp; ADDRESS(ROW(พิเศษ!Q176), COLUMN(พิเศษ!Q176), 4), ""), SUM(พิเศษ!Q175:Q176))</f>
        <v>13.26</v>
      </c>
      <c r="G30" s="220"/>
      <c r="H30"/>
    </row>
    <row r="31" spans="1:8" ht="21" customHeight="1" x14ac:dyDescent="0.35">
      <c r="A31" s="127" t="str">
        <f>HYPERLINK(IF($G$1="เปิด", "#พิเศษ!A" &amp; MATCH("คณะศิลปกรรมศาสตร์", พิเศษ!A:A, 0), ""), IF($G$1="เปิด", "คณะศิลปกรรมศาสตร์ (ไปชีทพิเศษ)", "คณะศิลปกรรมศาสตร์"))</f>
        <v>คณะศิลปกรรมศาสตร์</v>
      </c>
      <c r="B31" s="5" t="s">
        <v>8</v>
      </c>
      <c r="C31" s="121">
        <f>HYPERLINK(IF($G$1="เปิด", "#'พิเศษ'!" &amp; ADDRESS(ROW(พิเศษ!D178), COLUMN(พิเศษ!D178), 4), ""), พิเศษ!D178)</f>
        <v>63.96</v>
      </c>
      <c r="D31" s="121">
        <f>HYPERLINK(IF($G$1="เปิด", "#'พิเศษ'!" &amp; ADDRESS(ROW(พิเศษ!H178), COLUMN(พิเศษ!H178), 4), ""), พิเศษ!H178)</f>
        <v>66.94</v>
      </c>
      <c r="E31" s="121">
        <f>HYPERLINK(IF($G$1="เปิด", "#'พิเศษ'!" &amp; ADDRESS(ROW(พิเศษ!L178), COLUMN(พิเศษ!L178), 4), ""), พิเศษ!L178)</f>
        <v>28.67</v>
      </c>
      <c r="F31" s="183">
        <f>HYPERLINK(IF($G$1="เปิด", "#'พิเศษ'!" &amp; ADDRESS(ROW(พิเศษ!P178), COLUMN(พิเศษ!P178), 4), ""), พิเศษ!P178)</f>
        <v>79.790000000000006</v>
      </c>
      <c r="G31" s="221">
        <f>SUM(F31:F32)</f>
        <v>79.790000000000006</v>
      </c>
      <c r="H31"/>
    </row>
    <row r="32" spans="1:8" ht="21" customHeight="1" x14ac:dyDescent="0.35">
      <c r="A32" s="222" t="str">
        <f>HYPERLINK(IF('รวมปกติ+พิเศษ'!$L$1="เปิด", "#'รวมปกติ+พิเศษ'!A" &amp; MATCH("คณะศิลปกรรมศาสตร์", 'รวมปกติ+พิเศษ'!A:A, 0), "#A"&amp;ROW()), IF('รวมปกติ+พิเศษ'!$L$1="เปิด", "กลับรวมปกติ+พิเศษ", ""))</f>
        <v/>
      </c>
      <c r="B32" s="190" t="s">
        <v>97</v>
      </c>
      <c r="C32" s="218">
        <f>HYPERLINK(IF($G$1="เปิด", "#'พิเศษ'!" &amp; ADDRESS(ROW(พิเศษ!E179), COLUMN(พิเศษ!E179), 4) &amp; ":" &amp; ADDRESS(ROW(พิเศษ!E180), COLUMN(พิเศษ!E180), 4), ""), SUM(พิเศษ!E179:E180))</f>
        <v>0</v>
      </c>
      <c r="D32" s="218">
        <f>HYPERLINK(IF($G$1="เปิด", "#'พิเศษ'!" &amp; ADDRESS(ROW(พิเศษ!I179), COLUMN(พิเศษ!I179), 4) &amp; ":" &amp; ADDRESS(ROW(พิเศษ!I180), COLUMN(พิเศษ!I180), 4), ""), SUM(พิเศษ!I179:I180))</f>
        <v>0</v>
      </c>
      <c r="E32" s="218">
        <f>HYPERLINK(IF($G$1="เปิด", "#'พิเศษ'!" &amp; ADDRESS(ROW(พิเศษ!M179), COLUMN(พิเศษ!M179), 4) &amp; ":" &amp; ADDRESS(ROW(พิเศษ!M180), COLUMN(พิเศษ!M180), 4), ""), SUM(พิเศษ!M179:M180))</f>
        <v>0</v>
      </c>
      <c r="F32" s="219">
        <f>HYPERLINK(IF($G$1="เปิด", "#'พิเศษ'!" &amp; ADDRESS(ROW(พิเศษ!Q179), COLUMN(พิเศษ!Q179), 4) &amp; ":" &amp; ADDRESS(ROW(พิเศษ!Q180), COLUMN(พิเศษ!Q180), 4), ""), SUM(พิเศษ!Q179:Q180))</f>
        <v>0</v>
      </c>
      <c r="G32" s="220"/>
      <c r="H32"/>
    </row>
    <row r="33" spans="1:8" ht="21" customHeight="1" x14ac:dyDescent="0.35">
      <c r="A33" s="127" t="str">
        <f>HYPERLINK(IF($G$1="เปิด", "#พิเศษ!A" &amp; MATCH("คณะศึกษาศาสตร์", พิเศษ!A:A, 0), ""), IF($G$1="เปิด", "คณะศึกษาศาสตร์ (ไปชีทพิเศษ)", "คณะศึกษาศาสตร์"))</f>
        <v>คณะศึกษาศาสตร์</v>
      </c>
      <c r="B33" s="9" t="s">
        <v>8</v>
      </c>
      <c r="C33" s="121">
        <f>HYPERLINK(IF($G$1="เปิด", "#'พิเศษ'!" &amp; ADDRESS(ROW(พิเศษ!D210), COLUMN(พิเศษ!D210), 4), ""), พิเศษ!D210)</f>
        <v>0</v>
      </c>
      <c r="D33" s="121">
        <f>HYPERLINK(IF($G$1="เปิด", "#'พิเศษ'!" &amp; ADDRESS(ROW(พิเศษ!H210), COLUMN(พิเศษ!H210), 4), ""), พิเศษ!H210)</f>
        <v>185.17</v>
      </c>
      <c r="E33" s="121">
        <f>HYPERLINK(IF($G$1="เปิด", "#'พิเศษ'!" &amp; ADDRESS(ROW(พิเศษ!L210), COLUMN(พิเศษ!L210), 4), ""), พิเศษ!L210)</f>
        <v>67.39</v>
      </c>
      <c r="F33" s="183">
        <f>HYPERLINK(IF($G$1="เปิด", "#'พิเศษ'!" &amp; ADDRESS(ROW(พิเศษ!P210), COLUMN(พิเศษ!P210), 4), ""), พิเศษ!P210)</f>
        <v>126.28</v>
      </c>
      <c r="G33" s="221">
        <f>SUM(F33:F34)</f>
        <v>452.47</v>
      </c>
      <c r="H33"/>
    </row>
    <row r="34" spans="1:8" ht="21" customHeight="1" x14ac:dyDescent="0.35">
      <c r="A34" s="222" t="str">
        <f>HYPERLINK(IF('รวมปกติ+พิเศษ'!$L$1="เปิด", "#'รวมปกติ+พิเศษ'!A" &amp; MATCH("คณะศึกษาศาสตร์", 'รวมปกติ+พิเศษ'!A:A, 0), "#A"&amp;ROW()), IF('รวมปกติ+พิเศษ'!$L$1="เปิด", "กลับรวมปกติ+พิเศษ", ""))</f>
        <v/>
      </c>
      <c r="B34" s="190" t="s">
        <v>97</v>
      </c>
      <c r="C34" s="218">
        <f>HYPERLINK(IF($G$1="เปิด", "#'พิเศษ'!" &amp; ADDRESS(ROW(พิเศษ!E211), COLUMN(พิเศษ!E211), 4) &amp; ":" &amp; ADDRESS(ROW(พิเศษ!E213), COLUMN(พิเศษ!E213), 4), ""), SUM(พิเศษ!E211:E213))</f>
        <v>0</v>
      </c>
      <c r="D34" s="218">
        <f>HYPERLINK(IF($G$1="เปิด", "#'พิเศษ'!" &amp; ADDRESS(ROW(พิเศษ!I211), COLUMN(พิเศษ!I211), 4) &amp; ":" &amp; ADDRESS(ROW(พิเศษ!I213), COLUMN(พิเศษ!I213), 4), ""), SUM(พิเศษ!I211:I213))</f>
        <v>500.625</v>
      </c>
      <c r="E34" s="218">
        <f>HYPERLINK(IF($G$1="เปิด", "#'พิเศษ'!" &amp; ADDRESS(ROW(พิเศษ!M211), COLUMN(พิเศษ!M211), 4) &amp; ":" &amp; ADDRESS(ROW(พิเศษ!M213), COLUMN(พิเศษ!M213), 4), ""), SUM(พิเศษ!M211:M213))</f>
        <v>151.755</v>
      </c>
      <c r="F34" s="219">
        <f>HYPERLINK(IF($G$1="เปิด", "#'พิเศษ'!" &amp; ADDRESS(ROW(พิเศษ!Q211), COLUMN(พิเศษ!Q211), 4) &amp; ":" &amp; ADDRESS(ROW(พิเศษ!Q213), COLUMN(พิเศษ!Q213), 4), ""), SUM(พิเศษ!Q211:Q213))</f>
        <v>326.19</v>
      </c>
      <c r="G34" s="220"/>
      <c r="H34"/>
    </row>
    <row r="35" spans="1:8" ht="21" customHeight="1" x14ac:dyDescent="0.35">
      <c r="A35" s="127" t="str">
        <f>HYPERLINK(IF($G$1="เปิด", "#พิเศษ!A" &amp; MATCH("คณะสหเวชศาสตร์", พิเศษ!A:A, 0), ""), IF($G$1="เปิด", "คณะสหเวชศาสตร์ (ไปชีทพิเศษ)", "คณะสหเวชศาสตร์"))</f>
        <v>คณะสหเวชศาสตร์</v>
      </c>
      <c r="B35" s="5" t="s">
        <v>8</v>
      </c>
      <c r="C35" s="121">
        <f>HYPERLINK(IF($G$1="เปิด", "#'พิเศษ'!" &amp; ADDRESS(ROW(พิเศษ!D215), COLUMN(พิเศษ!D215), 4), ""), พิเศษ!D215)</f>
        <v>15.47</v>
      </c>
      <c r="D35" s="121">
        <f>HYPERLINK(IF($G$1="เปิด", "#'พิเศษ'!" &amp; ADDRESS(ROW(พิเศษ!H215), COLUMN(พิเศษ!H215), 4), ""), พิเศษ!H215)</f>
        <v>1.33</v>
      </c>
      <c r="E35" s="121">
        <f>HYPERLINK(IF($G$1="เปิด", "#'พิเศษ'!" &amp; ADDRESS(ROW(พิเศษ!L215), COLUMN(พิเศษ!L215), 4), ""), พิเศษ!L215)</f>
        <v>0</v>
      </c>
      <c r="F35" s="183">
        <f>HYPERLINK(IF($G$1="เปิด", "#'พิเศษ'!" &amp; ADDRESS(ROW(พิเศษ!P215), COLUMN(พิเศษ!P215), 4), ""), พิเศษ!P215)</f>
        <v>8.4</v>
      </c>
      <c r="G35" s="221">
        <f>SUM(F35:F36)</f>
        <v>8.4</v>
      </c>
      <c r="H35"/>
    </row>
    <row r="36" spans="1:8" ht="21" customHeight="1" x14ac:dyDescent="0.35">
      <c r="A36" s="222" t="str">
        <f>HYPERLINK(IF('รวมปกติ+พิเศษ'!$L$1="เปิด", "#'รวมปกติ+พิเศษ'!A" &amp; MATCH("คณะสหเวชศาสตร์", 'รวมปกติ+พิเศษ'!A:A, 0), "#A"&amp;ROW()), IF('รวมปกติ+พิเศษ'!$L$1="เปิด", "กลับรวมปกติ+พิเศษ", ""))</f>
        <v/>
      </c>
      <c r="B36" s="190" t="s">
        <v>97</v>
      </c>
      <c r="C36" s="218">
        <f>HYPERLINK(IF($G$1="เปิด", "#'พิเศษ'!" &amp; ADDRESS(ROW(พิเศษ!E216), COLUMN(พิเศษ!E216), 4) &amp; ":" &amp; ADDRESS(ROW(พิเศษ!E217), COLUMN(พิเศษ!E217), 4), ""), SUM(พิเศษ!E216:E217))</f>
        <v>0</v>
      </c>
      <c r="D36" s="218">
        <f>HYPERLINK(IF($G$1="เปิด", "#'พิเศษ'!" &amp; ADDRESS(ROW(พิเศษ!I216), COLUMN(พิเศษ!I216), 4) &amp; ":" &amp; ADDRESS(ROW(พิเศษ!I217), COLUMN(พิเศษ!I217), 4), ""), SUM(พิเศษ!I216:I217))</f>
        <v>0</v>
      </c>
      <c r="E36" s="218">
        <f>HYPERLINK(IF($G$1="เปิด", "#'พิเศษ'!" &amp; ADDRESS(ROW(พิเศษ!M216), COLUMN(พิเศษ!M216), 4) &amp; ":" &amp; ADDRESS(ROW(พิเศษ!M217), COLUMN(พิเศษ!M217), 4), ""), SUM(พิเศษ!M216:M217))</f>
        <v>0</v>
      </c>
      <c r="F36" s="219">
        <f>HYPERLINK(IF($G$1="เปิด", "#'พิเศษ'!" &amp; ADDRESS(ROW(พิเศษ!Q216), COLUMN(พิเศษ!Q216), 4) &amp; ":" &amp; ADDRESS(ROW(พิเศษ!Q217), COLUMN(พิเศษ!Q217), 4), ""), SUM(พิเศษ!Q216:Q217))</f>
        <v>0</v>
      </c>
      <c r="G36" s="220"/>
      <c r="H36"/>
    </row>
    <row r="37" spans="1:8" ht="21" customHeight="1" x14ac:dyDescent="0.35">
      <c r="A37" s="127" t="str">
        <f>HYPERLINK(IF($G$1="เปิด", "#พิเศษ!A" &amp; MATCH("คณะสาธารณสุขศาสตร์", พิเศษ!A:A, 0), ""), IF($G$1="เปิด", "คณะสาธารณสุขศาสตร์ (ไปชีทพิเศษ)", "คณะสาธารณสุขศาสตร์"))</f>
        <v>คณะสาธารณสุขศาสตร์</v>
      </c>
      <c r="B37" s="5" t="s">
        <v>8</v>
      </c>
      <c r="C37" s="121">
        <f>HYPERLINK(IF($G$1="เปิด", "#'พิเศษ'!" &amp; ADDRESS(ROW(พิเศษ!D237), COLUMN(พิเศษ!D237), 4), ""), พิเศษ!D237)</f>
        <v>64.599999999999994</v>
      </c>
      <c r="D37" s="121">
        <f>HYPERLINK(IF($G$1="เปิด", "#'พิเศษ'!" &amp; ADDRESS(ROW(พิเศษ!H237), COLUMN(พิเศษ!H237), 4), ""), พิเศษ!H237)</f>
        <v>4</v>
      </c>
      <c r="E37" s="121">
        <f>HYPERLINK(IF($G$1="เปิด", "#'พิเศษ'!" &amp; ADDRESS(ROW(พิเศษ!L237), COLUMN(พิเศษ!L237), 4), ""), พิเศษ!L237)</f>
        <v>0</v>
      </c>
      <c r="F37" s="183">
        <f>HYPERLINK(IF($G$1="เปิด", "#'พิเศษ'!" &amp; ADDRESS(ROW(พิเศษ!P234), COLUMN(พิเศษ!P234), 4), ""), พิเศษ!P234)</f>
        <v>0</v>
      </c>
      <c r="G37" s="221">
        <f>SUM(F37:F38)</f>
        <v>0</v>
      </c>
      <c r="H37"/>
    </row>
    <row r="38" spans="1:8" ht="21" customHeight="1" x14ac:dyDescent="0.35">
      <c r="A38" s="222" t="str">
        <f>HYPERLINK(IF('รวมปกติ+พิเศษ'!$L$1="เปิด", "#'รวมปกติ+พิเศษ'!A" &amp; MATCH("คณะสาธารณสุขศาสตร์", 'รวมปกติ+พิเศษ'!A:A, 0), "#A"&amp;ROW()), IF('รวมปกติ+พิเศษ'!$L$1="เปิด", "กลับรวมปกติ+พิเศษ", ""))</f>
        <v/>
      </c>
      <c r="B38" s="190" t="s">
        <v>97</v>
      </c>
      <c r="C38" s="218">
        <f>HYPERLINK(IF($G$1="เปิด", "#'พิเศษ'!" &amp; ADDRESS(ROW(พิเศษ!E238), COLUMN(พิเศษ!E238), 4) &amp; ":" &amp; ADDRESS(ROW(พิเศษ!E239), COLUMN(พิเศษ!E239), 4), ""), SUM(พิเศษ!E238:E239))</f>
        <v>62.67</v>
      </c>
      <c r="D38" s="218">
        <f>HYPERLINK(IF($G$1="เปิด", "#'พิเศษ'!" &amp; ADDRESS(ROW(พิเศษ!I238), COLUMN(พิเศษ!I238), 4) &amp; ":" &amp; ADDRESS(ROW(พิเศษ!I239), COLUMN(พิเศษ!I239), 4), ""), SUM(พิเศษ!I238:I239))</f>
        <v>38.08</v>
      </c>
      <c r="E38" s="218">
        <f>HYPERLINK(IF($G$1="เปิด", "#'พิเศษ'!" &amp; ADDRESS(ROW(พิเศษ!M238), COLUMN(พิเศษ!M238), 4) &amp; ":" &amp; ADDRESS(ROW(พิเศษ!M239), COLUMN(พิเศษ!M239), 4), ""), SUM(พิเศษ!M238:M239))</f>
        <v>17</v>
      </c>
      <c r="F38" s="219">
        <f>HYPERLINK(IF($G$1="เปิด", "#'พิเศษ'!" &amp; ADDRESS(ROW(พิเศษ!Q235), COLUMN(พิเศษ!Q235), 4) &amp; ":" &amp; ADDRESS(ROW(พิเศษ!Q236), COLUMN(พิเศษ!Q236), 4), ""), SUM(พิเศษ!Q235:Q236))</f>
        <v>0</v>
      </c>
      <c r="G38" s="220"/>
      <c r="H38"/>
    </row>
    <row r="39" spans="1:8" ht="21" customHeight="1" x14ac:dyDescent="0.35">
      <c r="A39" s="127" t="str">
        <f>HYPERLINK(IF($G$1="เปิด", "#พิเศษ!A" &amp; MATCH("วิทยาลัยนานาชาติ", พิเศษ!A:A, 0), ""), IF($G$1="เปิด", "วิทยาลัยนานาชาติ (ไปชีทพิเศษ)", "วิทยาลัยนานาชาติ"))</f>
        <v>วิทยาลัยนานาชาติ</v>
      </c>
      <c r="B39" s="9" t="s">
        <v>8</v>
      </c>
      <c r="C39" s="121">
        <f>HYPERLINK(IF($G$1="เปิด", "#'พิเศษ'!" &amp; ADDRESS(ROW(พิเศษ!D241), COLUMN(พิเศษ!D241), 4), ""), พิเศษ!D241)</f>
        <v>0</v>
      </c>
      <c r="D39" s="121">
        <f>HYPERLINK(IF($G$1="เปิด", "#'พิเศษ'!" &amp; ADDRESS(ROW(พิเศษ!H241), COLUMN(พิเศษ!H241), 4), ""), พิเศษ!H241)</f>
        <v>0</v>
      </c>
      <c r="E39" s="121">
        <f>HYPERLINK(IF($G$1="เปิด", "#'พิเศษ'!" &amp; ADDRESS(ROW(พิเศษ!L241), COLUMN(พิเศษ!L241), 4), ""), พิเศษ!L241)</f>
        <v>0</v>
      </c>
      <c r="F39" s="183">
        <f>HYPERLINK(IF($G$1="เปิด", "#'พิเศษ'!" &amp; ADDRESS(ROW(พิเศษ!P238), COLUMN(พิเศษ!P238), 4), ""), พิเศษ!P238)</f>
        <v>58.88</v>
      </c>
      <c r="G39" s="221">
        <f>SUM(F39:F40)</f>
        <v>58.88</v>
      </c>
      <c r="H39"/>
    </row>
    <row r="40" spans="1:8" ht="21" customHeight="1" x14ac:dyDescent="0.35">
      <c r="A40" s="222" t="str">
        <f>HYPERLINK(IF('รวมปกติ+พิเศษ'!$L$1="เปิด", "#'รวมปกติ+พิเศษ'!A" &amp; MATCH("วิทยาลัยนานาชาติ", 'รวมปกติ+พิเศษ'!A:A, 0), "#A"&amp;ROW()), IF('รวมปกติ+พิเศษ'!$L$1="เปิด", "กลับรวมปกติ+พิเศษ", ""))</f>
        <v/>
      </c>
      <c r="B40" s="190" t="s">
        <v>97</v>
      </c>
      <c r="C40" s="218">
        <f>HYPERLINK(IF($G$1="เปิด", "#'พิเศษ'!" &amp; ADDRESS(ROW(พิเศษ!E242), COLUMN(พิเศษ!E242), 4) &amp; ":" &amp; ADDRESS(ROW(พิเศษ!E243), COLUMN(พิเศษ!E243), 4), ""), SUM(พิเศษ!E242:E243))</f>
        <v>17.100000000000001</v>
      </c>
      <c r="D40" s="218">
        <f>HYPERLINK(IF($G$1="เปิด", "#'พิเศษ'!" &amp; ADDRESS(ROW(พิเศษ!I242), COLUMN(พิเศษ!I242), 4) &amp; ":" &amp; ADDRESS(ROW(พิเศษ!I243), COLUMN(พิเศษ!I243), 4), ""), SUM(พิเศษ!I242:I243))</f>
        <v>7.2</v>
      </c>
      <c r="E40" s="218">
        <f>HYPERLINK(IF($G$1="เปิด", "#'พิเศษ'!" &amp; ADDRESS(ROW(พิเศษ!M242), COLUMN(พิเศษ!M242), 4) &amp; ":" &amp; ADDRESS(ROW(พิเศษ!M243), COLUMN(พิเศษ!M243), 4), ""), SUM(พิเศษ!M242:M243))</f>
        <v>0</v>
      </c>
      <c r="F40" s="219">
        <f>HYPERLINK(IF($G$1="เปิด", "#'พิเศษ'!" &amp; ADDRESS(ROW(พิเศษ!Q239), COLUMN(พิเศษ!Q239), 4) &amp; ":" &amp; ADDRESS(ROW(พิเศษ!Q240), COLUMN(พิเศษ!Q240), 4), ""), SUM(พิเศษ!Q239:Q240))</f>
        <v>0</v>
      </c>
      <c r="G40" s="220"/>
      <c r="H40"/>
    </row>
    <row r="41" spans="1:8" ht="21" customHeight="1" x14ac:dyDescent="0.35">
      <c r="A41" s="127" t="str">
        <f>HYPERLINK(IF($G$1="เปิด", "#พิเศษ!A" &amp; MATCH("วิทยาลัยวิทยาการวิจัยและวิทยาการปัญญา", พิเศษ!A:A, 0), ""), IF($G$1="เปิด", "วิทยาลัยวิทยาการวิจัยและวิทยาการปัญญา (ไปชีทพิเศษ)", "วิทยาลัยวิทยาการวิจัยและวิทยาการปัญญา"))</f>
        <v>วิทยาลัยวิทยาการวิจัยและวิทยาการปัญญา</v>
      </c>
      <c r="B41" s="5" t="s">
        <v>8</v>
      </c>
      <c r="C41" s="121">
        <f>HYPERLINK(IF($G$1="เปิด", "#'พิเศษ'!" &amp; ADDRESS(ROW(พิเศษ!D245), COLUMN(พิเศษ!D245), 4), ""), พิเศษ!D245)</f>
        <v>0</v>
      </c>
      <c r="D41" s="121">
        <f>HYPERLINK(IF($G$1="เปิด", "#'พิเศษ'!" &amp; ADDRESS(ROW(พิเศษ!H245), COLUMN(พิเศษ!H245), 4), ""), พิเศษ!H245)</f>
        <v>0</v>
      </c>
      <c r="E41" s="121">
        <f>HYPERLINK(IF($G$1="เปิด", "#'พิเศษ'!" &amp; ADDRESS(ROW(พิเศษ!L245), COLUMN(พิเศษ!L245), 4), ""), พิเศษ!L245)</f>
        <v>0</v>
      </c>
      <c r="F41" s="183">
        <f>HYPERLINK(IF($G$1="เปิด", "#'พิเศษ'!" &amp; ADDRESS(ROW(พิเศษ!P242), COLUMN(พิเศษ!P242), 4), ""), พิเศษ!P242)</f>
        <v>6.75</v>
      </c>
      <c r="G41" s="221">
        <f>SUM(F41:F42)</f>
        <v>6.75</v>
      </c>
      <c r="H41"/>
    </row>
    <row r="42" spans="1:8" ht="21" customHeight="1" x14ac:dyDescent="0.35">
      <c r="A42" s="222" t="str">
        <f>HYPERLINK(IF('รวมปกติ+พิเศษ'!$L$1="เปิด", "#'รวมปกติ+พิเศษ'!A" &amp; MATCH("วิทยาลัยวิทยาการวิจัยและวิทยาการปัญญา", 'รวมปกติ+พิเศษ'!A:A, 0), "#A"&amp;ROW()), IF('รวมปกติ+พิเศษ'!$L$1="เปิด", "กลับรวมปกติ+พิเศษ", ""))</f>
        <v/>
      </c>
      <c r="B42" s="190" t="s">
        <v>97</v>
      </c>
      <c r="C42" s="218">
        <f>HYPERLINK(IF($G$1="เปิด", "#'พิเศษ'!" &amp; ADDRESS(ROW(พิเศษ!E246), COLUMN(พิเศษ!E246), 4) &amp; ":" &amp; ADDRESS(ROW(พิเศษ!E247), COLUMN(พิเศษ!E247), 4), ""), SUM(พิเศษ!E246:E247))</f>
        <v>0</v>
      </c>
      <c r="D42" s="218">
        <f>HYPERLINK(IF($G$1="เปิด", "#'พิเศษ'!" &amp; ADDRESS(ROW(พิเศษ!I246), COLUMN(พิเศษ!I246), 4) &amp; ":" &amp; ADDRESS(ROW(พิเศษ!I247), COLUMN(พิเศษ!I247), 4), ""), SUM(พิเศษ!I246:I247))</f>
        <v>0</v>
      </c>
      <c r="E42" s="218">
        <f>HYPERLINK(IF($G$1="เปิด", "#'พิเศษ'!" &amp; ADDRESS(ROW(พิเศษ!M246), COLUMN(พิเศษ!M246), 4) &amp; ":" &amp; ADDRESS(ROW(พิเศษ!M247), COLUMN(พิเศษ!M247), 4), ""), SUM(พิเศษ!M246:M247))</f>
        <v>0</v>
      </c>
      <c r="F42" s="219">
        <f>HYPERLINK(IF($G$1="เปิด", "#'พิเศษ'!" &amp; ADDRESS(ROW(พิเศษ!Q243), COLUMN(พิเศษ!Q243), 4) &amp; ":" &amp; ADDRESS(ROW(พิเศษ!Q244), COLUMN(พิเศษ!Q244), 4), ""), SUM(พิเศษ!Q243:Q244))</f>
        <v>0</v>
      </c>
      <c r="G42" s="220"/>
      <c r="H42"/>
    </row>
    <row r="43" spans="1:8" ht="21" customHeight="1" x14ac:dyDescent="0.35">
      <c r="A43" s="127" t="str">
        <f>HYPERLINK(IF($G$1="เปิด", "#พิเศษ!A" &amp; MATCH("สถาบันภาษา", พิเศษ!A:A, 0), ""), IF($G$1="เปิด", "สถาบันภาษา (ไปชีทพิเศษ)", "สถาบันภาษา"))</f>
        <v>สถาบันภาษา</v>
      </c>
      <c r="B43" s="5" t="s">
        <v>8</v>
      </c>
      <c r="C43" s="121">
        <f>HYPERLINK(IF($G$1="เปิด", "#'พิเศษ'!" &amp; ADDRESS(ROW(พิเศษ!D249), COLUMN(พิเศษ!D249), 4), ""), พิเศษ!D249)</f>
        <v>133.32</v>
      </c>
      <c r="D43" s="121">
        <f>HYPERLINK(IF($G$1="เปิด", "#'พิเศษ'!" &amp; ADDRESS(ROW(พิเศษ!H249), COLUMN(พิเศษ!H249), 4), ""), พิเศษ!H249)</f>
        <v>85.83</v>
      </c>
      <c r="E43" s="121">
        <f>HYPERLINK(IF($G$1="เปิด", "#'พิเศษ'!" &amp; ADDRESS(ROW(พิเศษ!L249), COLUMN(พิเศษ!L249), 4), ""), พิเศษ!L249)</f>
        <v>12.17</v>
      </c>
      <c r="F43" s="183">
        <f>HYPERLINK(IF($G$1="เปิด", "#'พิเศษ'!" &amp; ADDRESS(ROW(พิเศษ!P246), COLUMN(พิเศษ!P246), 4), ""), พิเศษ!P246)</f>
        <v>0</v>
      </c>
      <c r="G43" s="221">
        <f>SUM(F43:F44)</f>
        <v>0</v>
      </c>
      <c r="H43"/>
    </row>
    <row r="44" spans="1:8" ht="21" customHeight="1" x14ac:dyDescent="0.35">
      <c r="A44" s="222" t="str">
        <f>HYPERLINK(IF('รวมปกติ+พิเศษ'!$L$1="เปิด", "#'รวมปกติ+พิเศษ'!A" &amp; MATCH("สถาบันภาษา", 'รวมปกติ+พิเศษ'!A:A, 0), "#A"&amp;ROW()), IF('รวมปกติ+พิเศษ'!$L$1="เปิด", "กลับรวมปกติ+พิเศษ", ""))</f>
        <v/>
      </c>
      <c r="B44" s="190" t="s">
        <v>97</v>
      </c>
      <c r="C44" s="218">
        <f>HYPERLINK(IF($G$1="เปิด", "#'พิเศษ'!" &amp; ADDRESS(ROW(พิเศษ!E250), COLUMN(พิเศษ!E250), 4) &amp; ":" &amp; ADDRESS(ROW(พิเศษ!E251), COLUMN(พิเศษ!E251), 4), ""), SUM(พิเศษ!E250:E251))</f>
        <v>0</v>
      </c>
      <c r="D44" s="218">
        <f>HYPERLINK(IF($G$1="เปิด", "#'พิเศษ'!" &amp; ADDRESS(ROW(พิเศษ!I250), COLUMN(พิเศษ!I250), 4) &amp; ":" &amp; ADDRESS(ROW(พิเศษ!I251), COLUMN(พิเศษ!I251), 4), ""), SUM(พิเศษ!I250:I251))</f>
        <v>0</v>
      </c>
      <c r="E44" s="218">
        <f>HYPERLINK(IF($G$1="เปิด", "#'พิเศษ'!" &amp; ADDRESS(ROW(พิเศษ!M250), COLUMN(พิเศษ!M250), 4) &amp; ":" &amp; ADDRESS(ROW(พิเศษ!M251), COLUMN(พิเศษ!M251), 4), ""), SUM(พิเศษ!M250:M251))</f>
        <v>0</v>
      </c>
      <c r="F44" s="219">
        <f>HYPERLINK(IF($G$1="เปิด", "#'พิเศษ'!" &amp; ADDRESS(ROW(พิเศษ!Q247), COLUMN(พิเศษ!Q247), 4) &amp; ":" &amp; ADDRESS(ROW(พิเศษ!Q248), COLUMN(พิเศษ!Q248), 4), ""), SUM(พิเศษ!Q247:Q248))</f>
        <v>0</v>
      </c>
      <c r="G44" s="220"/>
      <c r="H44"/>
    </row>
    <row r="45" spans="1:8" ht="21" customHeight="1" x14ac:dyDescent="0.35">
      <c r="A45" s="127" t="str">
        <f>HYPERLINK(IF($G$1="เปิด", "#พิเศษ!A" &amp; MATCH("คณะเทคโนโลยีทางทะเล", พิเศษ!A:A, 0), ""), IF($G$1="เปิด", "คณะเทคโนโลยีทางทะเล (ไปชีทพิเศษ)", "คณะเทคโนโลยีทางทะเล"))</f>
        <v>คณะเทคโนโลยีทางทะเล</v>
      </c>
      <c r="B45" s="5" t="s">
        <v>8</v>
      </c>
      <c r="C45" s="121">
        <f>HYPERLINK(IF($G$1="เปิด", "#'พิเศษ'!" &amp; ADDRESS(ROW(พิเศษ!D259), COLUMN(พิเศษ!D259), 4), ""), พิเศษ!D259)</f>
        <v>0</v>
      </c>
      <c r="D45" s="121">
        <f>HYPERLINK(IF($G$1="เปิด", "#'พิเศษ'!" &amp; ADDRESS(ROW(พิเศษ!H259), COLUMN(พิเศษ!H259), 4), ""), พิเศษ!H259)</f>
        <v>0</v>
      </c>
      <c r="E45" s="121">
        <f>HYPERLINK(IF($G$1="เปิด", "#'พิเศษ'!" &amp; ADDRESS(ROW(พิเศษ!L259), COLUMN(พิเศษ!L259), 4), ""), พิเศษ!L259)</f>
        <v>0</v>
      </c>
      <c r="F45" s="183">
        <f>HYPERLINK(IF($G$1="เปิด", "#'พิเศษ'!" &amp; ADDRESS(ROW(พิเศษ!P256), COLUMN(พิเศษ!P256), 4), ""), พิเศษ!P256)</f>
        <v>0</v>
      </c>
      <c r="G45" s="221">
        <f>SUM(F45:F46)</f>
        <v>0</v>
      </c>
      <c r="H45"/>
    </row>
    <row r="46" spans="1:8" ht="21" customHeight="1" x14ac:dyDescent="0.35">
      <c r="A46" s="222" t="str">
        <f>HYPERLINK(IF('รวมปกติ+พิเศษ'!$L$1="เปิด", "#'รวมปกติ+พิเศษ'!A" &amp; MATCH("คณะเทคโนโลยีทางทะเล", 'รวมปกติ+พิเศษ'!A:A, 0), "#A"&amp;ROW()), IF('รวมปกติ+พิเศษ'!$L$1="เปิด", "กลับรวมปกติ+พิเศษ", ""))</f>
        <v/>
      </c>
      <c r="B46" s="190" t="s">
        <v>97</v>
      </c>
      <c r="C46" s="218">
        <f>HYPERLINK(IF($G$1="เปิด", "#'พิเศษ'!" &amp; ADDRESS(ROW(พิเศษ!E260), COLUMN(พิเศษ!E260), 4) &amp; ":" &amp; ADDRESS(ROW(พิเศษ!E261), COLUMN(พิเศษ!E261), 4), ""), SUM(พิเศษ!E260:E261))</f>
        <v>0</v>
      </c>
      <c r="D46" s="218">
        <f>HYPERLINK(IF($G$1="เปิด", "#'พิเศษ'!" &amp; ADDRESS(ROW(พิเศษ!I260), COLUMN(พิเศษ!I260), 4) &amp; ":" &amp; ADDRESS(ROW(พิเศษ!I261), COLUMN(พิเศษ!I261), 4), ""), SUM(พิเศษ!I260:I261))</f>
        <v>0</v>
      </c>
      <c r="E46" s="218">
        <f>HYPERLINK(IF($G$1="เปิด", "#'พิเศษ'!" &amp; ADDRESS(ROW(พิเศษ!M260), COLUMN(พิเศษ!M260), 4) &amp; ":" &amp; ADDRESS(ROW(พิเศษ!M261), COLUMN(พิเศษ!M261), 4), ""), SUM(พิเศษ!M260:M261))</f>
        <v>0</v>
      </c>
      <c r="F46" s="219">
        <f>HYPERLINK(IF($G$1="เปิด", "#'พิเศษ'!" &amp; ADDRESS(ROW(พิเศษ!Q257), COLUMN(พิเศษ!Q257), 4) &amp; ":" &amp; ADDRESS(ROW(พิเศษ!Q258), COLUMN(พิเศษ!Q258), 4), ""), SUM(พิเศษ!Q257:Q258))</f>
        <v>0</v>
      </c>
      <c r="G46" s="220"/>
      <c r="H46"/>
    </row>
    <row r="47" spans="1:8" ht="21" customHeight="1" x14ac:dyDescent="0.35">
      <c r="A47" s="127" t="str">
        <f>HYPERLINK(IF($G$1="เปิด", "#พิเศษ!A" &amp; MATCH("คณะวิทยาศาสตร์และศิลปศาสตร์", พิเศษ!A:A, 0), ""), IF($G$1="เปิด", "คณะวิทยาศาสตร์และศิลปศาสตร์ (ไปชีทพิเศษ)", "คณะวิทยาศาสตร์และศิลปศาสตร์"))</f>
        <v>คณะวิทยาศาสตร์และศิลปศาสตร์</v>
      </c>
      <c r="B47" s="5" t="s">
        <v>8</v>
      </c>
      <c r="C47" s="121">
        <f>HYPERLINK(IF($G$1="เปิด", "#'พิเศษ'!" &amp; ADDRESS(ROW(พิเศษ!D263), COLUMN(พิเศษ!D263), 4), ""), พิเศษ!D263)</f>
        <v>2.15</v>
      </c>
      <c r="D47" s="121">
        <f>HYPERLINK(IF($G$1="เปิด", "#'พิเศษ'!" &amp; ADDRESS(ROW(พิเศษ!H263), COLUMN(พิเศษ!H263), 4), ""), พิเศษ!H263)</f>
        <v>0</v>
      </c>
      <c r="E47" s="121">
        <f>HYPERLINK(IF($G$1="เปิด", "#'พิเศษ'!" &amp; ADDRESS(ROW(พิเศษ!L263), COLUMN(พิเศษ!L263), 4), ""), พิเศษ!L263)</f>
        <v>0</v>
      </c>
      <c r="F47" s="183">
        <f>HYPERLINK(IF($G$1="เปิด", "#'พิเศษ'!" &amp; ADDRESS(ROW(พิเศษ!P260), COLUMN(พิเศษ!P260), 4), ""), พิเศษ!P260)</f>
        <v>0</v>
      </c>
      <c r="G47" s="221">
        <f>SUM(F47:F48)</f>
        <v>0</v>
      </c>
      <c r="H47"/>
    </row>
    <row r="48" spans="1:8" ht="21" customHeight="1" x14ac:dyDescent="0.35">
      <c r="A48" s="222" t="str">
        <f>HYPERLINK(IF('รวมปกติ+พิเศษ'!$L$1="เปิด", "#'รวมปกติ+พิเศษ'!A" &amp; MATCH("คณะวิทยาศาสตร์และศิลปศาสตร์", 'รวมปกติ+พิเศษ'!A:A, 0), "#A"&amp;ROW()), IF('รวมปกติ+พิเศษ'!$L$1="เปิด", "กลับรวมปกติ+พิเศษ", ""))</f>
        <v/>
      </c>
      <c r="B48" s="190" t="s">
        <v>97</v>
      </c>
      <c r="C48" s="218">
        <f>HYPERLINK(IF($G$1="เปิด", "#'พิเศษ'!" &amp; ADDRESS(ROW(พิเศษ!E264), COLUMN(พิเศษ!E264), 4) &amp; ":" &amp; ADDRESS(ROW(พิเศษ!E265), COLUMN(พิเศษ!E265), 4), ""), SUM(พิเศษ!E264:E265))</f>
        <v>0</v>
      </c>
      <c r="D48" s="218">
        <f>HYPERLINK(IF($G$1="เปิด", "#'พิเศษ'!" &amp; ADDRESS(ROW(พิเศษ!I264), COLUMN(พิเศษ!I264), 4) &amp; ":" &amp; ADDRESS(ROW(พิเศษ!I265), COLUMN(พิเศษ!I265), 4), ""), SUM(พิเศษ!I264:I265))</f>
        <v>0</v>
      </c>
      <c r="E48" s="218">
        <f>HYPERLINK(IF($G$1="เปิด", "#'พิเศษ'!" &amp; ADDRESS(ROW(พิเศษ!M264), COLUMN(พิเศษ!M264), 4) &amp; ":" &amp; ADDRESS(ROW(พิเศษ!M265), COLUMN(พิเศษ!M265), 4), ""), SUM(พิเศษ!M264:M265))</f>
        <v>0</v>
      </c>
      <c r="F48" s="219">
        <f>HYPERLINK(IF($G$1="เปิด", "#'พิเศษ'!" &amp; ADDRESS(ROW(พิเศษ!Q261), COLUMN(พิเศษ!Q261), 4) &amp; ":" &amp; ADDRESS(ROW(พิเศษ!Q262), COLUMN(พิเศษ!Q262), 4), ""), SUM(พิเศษ!Q261:Q262))</f>
        <v>0</v>
      </c>
      <c r="G48" s="220"/>
      <c r="H48"/>
    </row>
    <row r="49" spans="1:8" ht="21" customHeight="1" x14ac:dyDescent="0.35">
      <c r="A49" s="127" t="str">
        <f>HYPERLINK(IF($G$1="เปิด", "#พิเศษ!A" &amp; MATCH("คณะอัญมณี", พิเศษ!A:A, 0), ""), IF($G$1="เปิด", "คณะอัญมณี (ไปชีทพิเศษ)", "คณะอัญมณี"))</f>
        <v>คณะอัญมณี</v>
      </c>
      <c r="B49" s="5" t="s">
        <v>8</v>
      </c>
      <c r="C49" s="121">
        <f>HYPERLINK(IF($G$1="เปิด", "#'พิเศษ'!" &amp; ADDRESS(ROW(พิเศษ!D267), COLUMN(พิเศษ!D267), 4), ""), พิเศษ!D267)</f>
        <v>0</v>
      </c>
      <c r="D49" s="121">
        <f>HYPERLINK(IF($G$1="เปิด", "#'พิเศษ'!" &amp; ADDRESS(ROW(พิเศษ!H267), COLUMN(พิเศษ!H267), 4), ""), พิเศษ!H267)</f>
        <v>0</v>
      </c>
      <c r="E49" s="121">
        <f>HYPERLINK(IF($G$1="เปิด", "#'พิเศษ'!" &amp; ADDRESS(ROW(พิเศษ!L267), COLUMN(พิเศษ!L267), 4), ""), พิเศษ!L267)</f>
        <v>0</v>
      </c>
      <c r="F49" s="183">
        <f>HYPERLINK(IF($G$1="เปิด", "#'พิเศษ'!" &amp; ADDRESS(ROW(พิเศษ!P264), COLUMN(พิเศษ!P264), 4), ""), พิเศษ!P264)</f>
        <v>0</v>
      </c>
      <c r="G49" s="221">
        <f>SUM(F49:F50)</f>
        <v>0</v>
      </c>
      <c r="H49"/>
    </row>
    <row r="50" spans="1:8" ht="21" customHeight="1" x14ac:dyDescent="0.35">
      <c r="A50" s="222" t="str">
        <f>HYPERLINK(IF('รวมปกติ+พิเศษ'!$L$1="เปิด", "#'รวมปกติ+พิเศษ'!A" &amp; MATCH("คณะอัญมณี", 'รวมปกติ+พิเศษ'!A:A, 0), "#A"&amp;ROW()), IF('รวมปกติ+พิเศษ'!$L$1="เปิด", "กลับรวมปกติ+พิเศษ", ""))</f>
        <v/>
      </c>
      <c r="B50" s="190" t="s">
        <v>97</v>
      </c>
      <c r="C50" s="218">
        <f>HYPERLINK(IF($G$1="เปิด", "#'พิเศษ'!" &amp; ADDRESS(ROW(พิเศษ!E268), COLUMN(พิเศษ!E268), 4) &amp; ":" &amp; ADDRESS(ROW(พิเศษ!E269), COLUMN(พิเศษ!E269), 4), ""), SUM(พิเศษ!E268:E269))</f>
        <v>0</v>
      </c>
      <c r="D50" s="218">
        <f>HYPERLINK(IF($G$1="เปิด", "#'พิเศษ'!" &amp; ADDRESS(ROW(พิเศษ!I268), COLUMN(พิเศษ!I268), 4) &amp; ":" &amp; ADDRESS(ROW(พิเศษ!I269), COLUMN(พิเศษ!I269), 4), ""), SUM(พิเศษ!I268:I269))</f>
        <v>0</v>
      </c>
      <c r="E50" s="218">
        <f>HYPERLINK(IF($G$1="เปิด", "#'พิเศษ'!" &amp; ADDRESS(ROW(พิเศษ!M268), COLUMN(พิเศษ!M268), 4) &amp; ":" &amp; ADDRESS(ROW(พิเศษ!M269), COLUMN(พิเศษ!M269), 4), ""), SUM(พิเศษ!M268:M269))</f>
        <v>0</v>
      </c>
      <c r="F50" s="219">
        <f>HYPERLINK(IF($G$1="เปิด", "#'พิเศษ'!" &amp; ADDRESS(ROW(พิเศษ!Q265), COLUMN(พิเศษ!Q265), 4) &amp; ":" &amp; ADDRESS(ROW(พิเศษ!Q266), COLUMN(พิเศษ!Q266), 4), ""), SUM(พิเศษ!Q265:Q266))</f>
        <v>0</v>
      </c>
      <c r="G50" s="220"/>
      <c r="H50"/>
    </row>
    <row r="51" spans="1:8" ht="21" customHeight="1" x14ac:dyDescent="0.35">
      <c r="A51" s="127" t="str">
        <f>HYPERLINK(IF($G$1="เปิด", "#พิเศษ!A" &amp; MATCH("คณะวิทยาศาสตร์และสังคมศาสตร์", พิเศษ!A:A, 0), ""), IF($G$1="เปิด", "คณะวิทยาศาสตร์และสังคมศาสตร์ (ไปชีทพิเศษ)", "คณะวิทยาศาสตร์และสังคมศาสตร์"))</f>
        <v>คณะวิทยาศาสตร์และสังคมศาสตร์</v>
      </c>
      <c r="B51" s="5" t="s">
        <v>8</v>
      </c>
      <c r="C51" s="121">
        <f>HYPERLINK(IF($G$1="เปิด", "#'พิเศษ'!" &amp; ADDRESS(ROW(พิเศษ!D276), COLUMN(พิเศษ!D276), 4), ""), พิเศษ!D276)</f>
        <v>31.73</v>
      </c>
      <c r="D51" s="121">
        <f>HYPERLINK(IF($G$1="เปิด", "#'พิเศษ'!" &amp; ADDRESS(ROW(พิเศษ!H276), COLUMN(พิเศษ!H276), 4), ""), พิเศษ!H276)</f>
        <v>30.11</v>
      </c>
      <c r="E51" s="121">
        <f>HYPERLINK(IF($G$1="เปิด", "#'พิเศษ'!" &amp; ADDRESS(ROW(พิเศษ!L276), COLUMN(พิเศษ!L276), 4), ""), พิเศษ!L276)</f>
        <v>0</v>
      </c>
      <c r="F51" s="183">
        <f>HYPERLINK(IF($G$1="เปิด", "#'พิเศษ'!" &amp; ADDRESS(ROW(พิเศษ!P273), COLUMN(พิเศษ!P273), 4), ""), พิเศษ!P273)</f>
        <v>0</v>
      </c>
      <c r="G51" s="221">
        <f>SUM(F51:F52)</f>
        <v>0</v>
      </c>
      <c r="H51"/>
    </row>
    <row r="52" spans="1:8" ht="21" customHeight="1" x14ac:dyDescent="0.35">
      <c r="A52" s="222" t="str">
        <f>HYPERLINK(IF('รวมปกติ+พิเศษ'!$L$1="เปิด", "#'รวมปกติ+พิเศษ'!A" &amp; MATCH("คณะวิทยาศาสตร์และสังคมศาสตร์", 'รวมปกติ+พิเศษ'!A:A, 0), "#A"&amp;ROW()), IF('รวมปกติ+พิเศษ'!$L$1="เปิด", "กลับรวมปกติ+พิเศษ", ""))</f>
        <v/>
      </c>
      <c r="B52" s="190" t="s">
        <v>97</v>
      </c>
      <c r="C52" s="218">
        <f>HYPERLINK(IF($G$1="เปิด", "#'พิเศษ'!" &amp; ADDRESS(ROW(พิเศษ!E277), COLUMN(พิเศษ!E277), 4) &amp; ":" &amp; ADDRESS(ROW(พิเศษ!E278), COLUMN(พิเศษ!E278), 4), ""), SUM(พิเศษ!E277:E278))</f>
        <v>0</v>
      </c>
      <c r="D52" s="218">
        <f>HYPERLINK(IF($G$1="เปิด", "#'พิเศษ'!" &amp; ADDRESS(ROW(พิเศษ!I277), COLUMN(พิเศษ!I277), 4) &amp; ":" &amp; ADDRESS(ROW(พิเศษ!I278), COLUMN(พิเศษ!I278), 4), ""), SUM(พิเศษ!I277:I278))</f>
        <v>0</v>
      </c>
      <c r="E52" s="218">
        <f>HYPERLINK(IF($G$1="เปิด", "#'พิเศษ'!" &amp; ADDRESS(ROW(พิเศษ!M277), COLUMN(พิเศษ!M277), 4) &amp; ":" &amp; ADDRESS(ROW(พิเศษ!M278), COLUMN(พิเศษ!M278), 4), ""), SUM(พิเศษ!M277:M278))</f>
        <v>0</v>
      </c>
      <c r="F52" s="219">
        <f>HYPERLINK(IF($G$1="เปิด", "#'พิเศษ'!" &amp; ADDRESS(ROW(พิเศษ!Q274), COLUMN(พิเศษ!Q274), 4) &amp; ":" &amp; ADDRESS(ROW(พิเศษ!Q275), COLUMN(พิเศษ!Q275), 4), ""), SUM(พิเศษ!Q274:Q275))</f>
        <v>0</v>
      </c>
      <c r="G52" s="220"/>
      <c r="H52"/>
    </row>
    <row r="53" spans="1:8" ht="21" customHeight="1" x14ac:dyDescent="0.35">
      <c r="A53" s="127" t="str">
        <f>HYPERLINK(IF($G$1="เปิด", "#พิเศษ!A" &amp; MATCH("คณะเทคโนโลยีการเกษตร", พิเศษ!A:A, 0), ""), IF($G$1="เปิด", "คณะเทคโนโลยีการเกษตร (ไปชีทพิเศษ)", "คณะเทคโนโลยีการเกษตร"))</f>
        <v>คณะเทคโนโลยีการเกษตร</v>
      </c>
      <c r="B53" s="5" t="s">
        <v>8</v>
      </c>
      <c r="C53" s="121">
        <f>HYPERLINK(IF($G$1="เปิด", "#'พิเศษ'!" &amp; ADDRESS(ROW(พิเศษ!D280), COLUMN(พิเศษ!D280), 4), ""), พิเศษ!D280)</f>
        <v>0</v>
      </c>
      <c r="D53" s="121">
        <f>HYPERLINK(IF($G$1="เปิด", "#'พิเศษ'!" &amp; ADDRESS(ROW(พิเศษ!H280), COLUMN(พิเศษ!H280), 4), ""), พิเศษ!H280)</f>
        <v>0</v>
      </c>
      <c r="E53" s="121">
        <f>HYPERLINK(IF($G$1="เปิด", "#'พิเศษ'!" &amp; ADDRESS(ROW(พิเศษ!L280), COLUMN(พิเศษ!L280), 4), ""), พิเศษ!L280)</f>
        <v>0</v>
      </c>
      <c r="F53" s="183">
        <f>HYPERLINK(IF($G$1="เปิด", "#'พิเศษ'!" &amp; ADDRESS(ROW(พิเศษ!P277), COLUMN(พิเศษ!P277), 4), ""), พิเศษ!P277)</f>
        <v>0</v>
      </c>
      <c r="G53" s="221">
        <f>SUM(F53:F54)</f>
        <v>0</v>
      </c>
      <c r="H53"/>
    </row>
    <row r="54" spans="1:8" ht="21" customHeight="1" x14ac:dyDescent="0.35">
      <c r="A54" s="222" t="str">
        <f>HYPERLINK(IF('รวมปกติ+พิเศษ'!$L$1="เปิด", "#'รวมปกติ+พิเศษ'!A" &amp; MATCH("คณะเทคโนโลยีการเกษตร", 'รวมปกติ+พิเศษ'!A:A, 0), "#A"&amp;ROW()), IF('รวมปกติ+พิเศษ'!$L$1="เปิด", "กลับรวมปกติ+พิเศษ", ""))</f>
        <v/>
      </c>
      <c r="B54" s="190" t="s">
        <v>97</v>
      </c>
      <c r="C54" s="269">
        <f>HYPERLINK(IF($G$1="เปิด", "#'พิเศษ'!" &amp; ADDRESS(ROW(พิเศษ!E281), COLUMN(พิเศษ!E281), 4) &amp; ":" &amp; ADDRESS(ROW(พิเศษ!E282), COLUMN(พิเศษ!E282), 4), ""), SUM(พิเศษ!E281:E282))</f>
        <v>0</v>
      </c>
      <c r="D54" s="269">
        <f>HYPERLINK(IF($G$1="เปิด", "#'พิเศษ'!" &amp; ADDRESS(ROW(พิเศษ!I281), COLUMN(พิเศษ!I281), 4) &amp; ":" &amp; ADDRESS(ROW(พิเศษ!I282), COLUMN(พิเศษ!I282), 4), ""), SUM(พิเศษ!I281:I282))</f>
        <v>0</v>
      </c>
      <c r="E54" s="269">
        <f>HYPERLINK(IF($G$1="เปิด", "#'พิเศษ'!" &amp; ADDRESS(ROW(พิเศษ!M281), COLUMN(พิเศษ!M281), 4) &amp; ":" &amp; ADDRESS(ROW(พิเศษ!M282), COLUMN(พิเศษ!M282), 4), ""), SUM(พิเศษ!M281:M282))</f>
        <v>0</v>
      </c>
      <c r="F54" s="219">
        <f>HYPERLINK(IF($G$1="เปิด", "#'พิเศษ'!" &amp; ADDRESS(ROW(พิเศษ!Q278), COLUMN(พิเศษ!Q278), 4) &amp; ":" &amp; ADDRESS(ROW(พิเศษ!Q279), COLUMN(พิเศษ!Q279), 4), ""), SUM(พิเศษ!Q278:Q279))</f>
        <v>0</v>
      </c>
      <c r="G54" s="220"/>
      <c r="H54"/>
    </row>
    <row r="55" spans="1:8" ht="21" customHeight="1" x14ac:dyDescent="0.35">
      <c r="A55" s="103" t="s">
        <v>92</v>
      </c>
      <c r="B55" s="104"/>
      <c r="C55" s="16">
        <f>SUM(C3:C54)</f>
        <v>3199.0460000000007</v>
      </c>
      <c r="D55" s="16">
        <f t="shared" ref="D55:G55" si="0">SUM(D3:D54)</f>
        <v>4101.4849999999997</v>
      </c>
      <c r="E55" s="16">
        <f t="shared" si="0"/>
        <v>676.38499999999988</v>
      </c>
      <c r="F55" s="16">
        <f>ROUND(SUM(C55:E55)/2,2)</f>
        <v>3988.46</v>
      </c>
      <c r="G55" s="16">
        <f t="shared" si="0"/>
        <v>3801.1479999999997</v>
      </c>
      <c r="H55"/>
    </row>
  </sheetData>
  <conditionalFormatting sqref="A3:A54 C3:F54">
    <cfRule type="expression" dxfId="7" priority="4">
      <formula>$G$1="เปิด"</formula>
    </cfRule>
  </conditionalFormatting>
  <conditionalFormatting sqref="C3:G55">
    <cfRule type="expression" dxfId="5" priority="8">
      <formula>ABS(C3-INT(C3))&lt;0.01</formula>
    </cfRule>
  </conditionalFormatting>
  <conditionalFormatting sqref="G1">
    <cfRule type="expression" dxfId="4" priority="9">
      <formula>$G$1="ปิด"</formula>
    </cfRule>
  </conditionalFormatting>
  <dataValidations count="1">
    <dataValidation type="list" allowBlank="1" showInputMessage="1" showErrorMessage="1" sqref="G1" xr:uid="{0F3E31A9-F779-46CE-9B8B-81DF9BCED7B8}">
      <formula1>"เปิด,ปิด"</formula1>
    </dataValidation>
  </dataValidations>
  <pageMargins left="0.35433070866141736" right="0.23622047244094491" top="0.74803149606299213" bottom="0.74803149606299213" header="0" footer="0"/>
  <pageSetup paperSize="9" orientation="portrait" r:id="rId1"/>
  <headerFooter>
    <oddFooter>&amp;Cหน้า &amp;P /</oddFooter>
  </headerFooter>
  <ignoredErrors>
    <ignoredError sqref="A2 B1 A55:B55 B9:B40 F2:G2 G3:G4 B54 B41 G9:G54 B42:B53" twoDigitTextYear="1"/>
  </ignoredErrors>
  <extLst>
    <ext xmlns:x14="http://schemas.microsoft.com/office/spreadsheetml/2009/9/main" uri="{78C0D931-6437-407d-A8EE-F0AAD7539E65}">
      <x14:conditionalFormattings>
        <x14:conditionalFormatting xmlns:xm="http://schemas.microsoft.com/office/excel/2006/main">
          <x14:cfRule type="expression" priority="3" id="{E5C12BFF-3C56-40A4-9617-0C6EC27CB3AE}">
            <xm:f>'รวมปกติ+พิเศษ'!$L$1="เปิด"</xm:f>
            <x14:dxf>
              <font>
                <color rgb="FF0464C2"/>
              </font>
            </x14:dxf>
          </x14:cfRule>
          <xm:sqref>A4 A6 A8 A10 A12 A14 A16 A18 A20 A22 A24 A26 A28 A30 A32 A34 A36 A38 A40 A42 A44 A46 A48 A50 A52 A54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58"/>
  <sheetViews>
    <sheetView showGridLines="0" zoomScaleNormal="100" workbookViewId="0">
      <pane ySplit="3" topLeftCell="A4" activePane="bottomLeft" state="frozen"/>
      <selection activeCell="A20" sqref="A20"/>
      <selection pane="bottomLeft" activeCell="B4" sqref="B4"/>
    </sheetView>
  </sheetViews>
  <sheetFormatPr defaultColWidth="12.625" defaultRowHeight="15" x14ac:dyDescent="0.25"/>
  <cols>
    <col min="1" max="2" width="13.625" style="2" customWidth="1"/>
    <col min="3" max="3" width="9.625" style="2" customWidth="1"/>
    <col min="4" max="6" width="9" style="2" customWidth="1"/>
    <col min="7" max="7" width="9.75" style="2" customWidth="1"/>
    <col min="8" max="8" width="9.375" style="2" customWidth="1"/>
    <col min="9" max="11" width="9" style="2" customWidth="1"/>
    <col min="12" max="12" width="9.75" style="2" customWidth="1"/>
    <col min="13" max="13" width="9.375" style="2" customWidth="1"/>
    <col min="14" max="16" width="9" style="2" customWidth="1"/>
    <col min="17" max="17" width="9.75" style="2" customWidth="1"/>
    <col min="18" max="18" width="9.375" style="2" customWidth="1"/>
    <col min="19" max="27" width="8.625" style="2" customWidth="1"/>
    <col min="28" max="16384" width="12.625" style="2"/>
  </cols>
  <sheetData>
    <row r="1" spans="1:22" ht="21.75" thickBot="1" x14ac:dyDescent="0.4">
      <c r="A1" s="1" t="s">
        <v>119</v>
      </c>
      <c r="B1" s="10"/>
      <c r="L1" s="111"/>
    </row>
    <row r="2" spans="1:22" ht="21.75" thickBot="1" x14ac:dyDescent="0.3">
      <c r="A2" s="282" t="s">
        <v>93</v>
      </c>
      <c r="B2" s="283"/>
      <c r="C2" s="280" t="s">
        <v>94</v>
      </c>
      <c r="D2" s="197" t="s">
        <v>98</v>
      </c>
      <c r="E2" s="198"/>
      <c r="F2" s="199"/>
      <c r="G2" s="200"/>
      <c r="H2" s="201"/>
      <c r="I2" s="197" t="s">
        <v>99</v>
      </c>
      <c r="J2" s="198"/>
      <c r="K2" s="199"/>
      <c r="L2" s="200"/>
      <c r="M2" s="200"/>
      <c r="N2" s="202" t="s">
        <v>100</v>
      </c>
      <c r="O2" s="198"/>
      <c r="P2" s="203"/>
      <c r="Q2" s="204"/>
      <c r="R2" s="205"/>
    </row>
    <row r="3" spans="1:22" ht="21.75" thickBot="1" x14ac:dyDescent="0.3">
      <c r="A3" s="284"/>
      <c r="B3" s="285"/>
      <c r="C3" s="281"/>
      <c r="D3" s="207" t="s">
        <v>116</v>
      </c>
      <c r="E3" s="207" t="s">
        <v>101</v>
      </c>
      <c r="F3" s="211" t="s">
        <v>104</v>
      </c>
      <c r="G3" s="207" t="s">
        <v>95</v>
      </c>
      <c r="H3" s="212" t="s">
        <v>96</v>
      </c>
      <c r="I3" s="206" t="s">
        <v>116</v>
      </c>
      <c r="J3" s="207" t="s">
        <v>101</v>
      </c>
      <c r="K3" s="208" t="s">
        <v>104</v>
      </c>
      <c r="L3" s="209" t="s">
        <v>95</v>
      </c>
      <c r="M3" s="210" t="s">
        <v>96</v>
      </c>
      <c r="N3" s="213" t="s">
        <v>116</v>
      </c>
      <c r="O3" s="214" t="s">
        <v>101</v>
      </c>
      <c r="P3" s="215" t="s">
        <v>104</v>
      </c>
      <c r="Q3" s="216" t="s">
        <v>95</v>
      </c>
      <c r="R3" s="217" t="s">
        <v>96</v>
      </c>
    </row>
    <row r="4" spans="1:22" ht="21" x14ac:dyDescent="0.35">
      <c r="A4" s="9" t="s">
        <v>11</v>
      </c>
      <c r="B4" s="118"/>
      <c r="C4" s="8" t="s">
        <v>8</v>
      </c>
      <c r="D4" s="179">
        <f>HYPERLINK(IF($L$1="เปิด", "#'รวมปกติ'!" &amp; ADDRESS(ROW(รวมปกติ!C3), COLUMN(รวมปกติ!C3), 4), ""), รวมปกติ!C3)</f>
        <v>581.75</v>
      </c>
      <c r="E4" s="11">
        <f>HYPERLINK(IF($L$1="เปิด", "#'รวมปกติ'!" &amp; ADDRESS(ROW(รวมปกติ!D3), COLUMN(รวมปกติ!D3), 4), ""), รวมปกติ!D3)</f>
        <v>449</v>
      </c>
      <c r="F4" s="11">
        <f>HYPERLINK(IF($L$1="เปิด", "#'รวมปกติ'!" &amp; ADDRESS(ROW(รวมปกติ!E3), COLUMN(รวมปกติ!E3), 4), ""), รวมปกติ!E3)</f>
        <v>0.5</v>
      </c>
      <c r="G4" s="184">
        <f>HYPERLINK(IF($L$1="เปิด", "#'รวมปกติ'!" &amp; ADDRESS(ROW(รวมปกติ!F3), COLUMN(รวมปกติ!F3), 4), ""), รวมปกติ!F3)</f>
        <v>515.62</v>
      </c>
      <c r="H4" s="185">
        <f>HYPERLINK(IF($L$1="เปิด", "#'รวมปกติ'!" &amp; ADDRESS(ROW(รวมปกติ!G3), COLUMN(รวมปกติ!G3), 4), ""), รวมปกติ!G3)</f>
        <v>519.66999999999996</v>
      </c>
      <c r="I4" s="11">
        <f>HYPERLINK(IF($L$1="เปิด", "#'รวมพิเศษ'!" &amp; ADDRESS(ROW(รวมพิเศษ!C3), COLUMN(รวมพิเศษ!C3), 4), ""), รวมพิเศษ!C3)</f>
        <v>2.8</v>
      </c>
      <c r="J4" s="11">
        <f>HYPERLINK(IF($L$1="เปิด", "#'รวมพิเศษ'!" &amp; ADDRESS(ROW(รวมพิเศษ!D3), COLUMN(รวมพิเศษ!D3), 4), ""), รวมพิเศษ!D3)</f>
        <v>0</v>
      </c>
      <c r="K4" s="11">
        <f>HYPERLINK(IF($L$1="เปิด", "#'รวมพิเศษ'!" &amp; ADDRESS(ROW(รวมพิเศษ!E3), COLUMN(รวมพิเศษ!E3), 4), ""), รวมพิเศษ!E3)</f>
        <v>0</v>
      </c>
      <c r="L4" s="184">
        <f>HYPERLINK(IF($L$1="เปิด", "#'รวมพิเศษ'!" &amp; ADDRESS(ROW(รวมพิเศษ!F3), COLUMN(รวมพิเศษ!F3), 4), ""), รวมพิเศษ!F3)</f>
        <v>1.4</v>
      </c>
      <c r="M4" s="185">
        <f>HYPERLINK(IF($L$1="เปิด", "#'รวมพิเศษ'!" &amp; ADDRESS(ROW(รวมพิเศษ!G3), COLUMN(รวมพิเศษ!G3), 4), ""), รวมพิเศษ!G3)</f>
        <v>1.4</v>
      </c>
      <c r="N4" s="179">
        <f t="shared" ref="N4:N39" si="0">D4+I4</f>
        <v>584.54999999999995</v>
      </c>
      <c r="O4" s="11">
        <f t="shared" ref="O4:O39" si="1">E4+J4</f>
        <v>449</v>
      </c>
      <c r="P4" s="11">
        <f t="shared" ref="P4:P39" si="2">F4+K4</f>
        <v>0.5</v>
      </c>
      <c r="Q4" s="184">
        <f t="shared" ref="Q4:Q39" si="3">G4+L4</f>
        <v>517.02</v>
      </c>
      <c r="R4" s="272">
        <f t="shared" ref="R4:R39" si="4">H4+M4</f>
        <v>521.06999999999994</v>
      </c>
      <c r="V4" s="14"/>
    </row>
    <row r="5" spans="1:22" ht="21" x14ac:dyDescent="0.35">
      <c r="A5" s="125" t="str">
        <f>HYPERLINK(IF($L$1="เปิด", "#'รวมปกติ'!A3", "#C5"), IF($L$1="เปิด", "ไปรวมปกติ (A3)", ""))</f>
        <v/>
      </c>
      <c r="B5" s="126" t="str">
        <f>HYPERLINK(IF($L$1="เปิด", "#'รวมพิเศษ'!A3", "#D5"), IF($L$1="เปิด", "ไปรวมพิเศษ (A3)", ""))</f>
        <v/>
      </c>
      <c r="C5" s="7" t="s">
        <v>97</v>
      </c>
      <c r="D5" s="180">
        <f>HYPERLINK(IF($L$1="เปิด", "#'รวมปกติ'!" &amp; ADDRESS(ROW(รวมปกติ!C4), COLUMN(รวมปกติ!C4), 4), ""), รวมปกติ!C4)</f>
        <v>3.15</v>
      </c>
      <c r="E5" s="12">
        <f>HYPERLINK(IF($L$1="เปิด", "#'รวมปกติ'!" &amp; ADDRESS(ROW(รวมปกติ!D4), COLUMN(รวมปกติ!D4), 4), ""), รวมปกติ!D4)</f>
        <v>4.95</v>
      </c>
      <c r="F5" s="12">
        <f>HYPERLINK(IF($L$1="เปิด", "#'รวมปกติ'!" &amp; ADDRESS(ROW(รวมปกติ!E4), COLUMN(รวมปกติ!E4), 4), ""), รวมปกติ!E4)</f>
        <v>0</v>
      </c>
      <c r="G5" s="186">
        <f>HYPERLINK(IF($L$1="เปิด", "#'รวมปกติ'!" &amp; ADDRESS(ROW(รวมปกติ!F4), COLUMN(รวมปกติ!F4), 4), ""), รวมปกติ!F4)</f>
        <v>4.05</v>
      </c>
      <c r="H5" s="187"/>
      <c r="I5" s="12">
        <f>HYPERLINK(IF($L$1="เปิด", "#'รวมพิเศษ'!" &amp; ADDRESS(ROW(รวมพิเศษ!C4), COLUMN(รวมพิเศษ!C4), 4), ""), รวมพิเศษ!C4)</f>
        <v>0</v>
      </c>
      <c r="J5" s="12">
        <f>HYPERLINK(IF($L$1="เปิด", "#'รวมพิเศษ'!" &amp; ADDRESS(ROW(รวมพิเศษ!D4), COLUMN(รวมพิเศษ!D4), 4), ""), รวมพิเศษ!D4)</f>
        <v>0</v>
      </c>
      <c r="K5" s="12">
        <f>HYPERLINK(IF($L$1="เปิด", "#'รวมพิเศษ'!" &amp; ADDRESS(ROW(รวมพิเศษ!E4), COLUMN(รวมพิเศษ!E4), 4), ""), รวมพิเศษ!E4)</f>
        <v>0</v>
      </c>
      <c r="L5" s="186">
        <f>HYPERLINK(IF($L$1="เปิด", "#'รวมพิเศษ'!" &amp; ADDRESS(ROW(รวมพิเศษ!F4), COLUMN(รวมพิเศษ!F4), 4), ""), รวมพิเศษ!F4)</f>
        <v>0</v>
      </c>
      <c r="M5" s="187"/>
      <c r="N5" s="271">
        <f t="shared" si="0"/>
        <v>3.15</v>
      </c>
      <c r="O5" s="12">
        <f t="shared" si="1"/>
        <v>4.95</v>
      </c>
      <c r="P5" s="12">
        <f t="shared" si="2"/>
        <v>0</v>
      </c>
      <c r="Q5" s="186">
        <f t="shared" si="3"/>
        <v>4.05</v>
      </c>
      <c r="R5" s="273">
        <f t="shared" si="4"/>
        <v>0</v>
      </c>
    </row>
    <row r="6" spans="1:22" ht="21" x14ac:dyDescent="0.35">
      <c r="A6" s="117" t="s">
        <v>123</v>
      </c>
      <c r="B6" s="119"/>
      <c r="C6" s="6" t="s">
        <v>8</v>
      </c>
      <c r="D6" s="181">
        <f>HYPERLINK(IF($L$1="เปิด", "#'รวมปกติ'!" &amp; ADDRESS(ROW(รวมปกติ!C5), COLUMN(รวมปกติ!C5), 4), ""), รวมปกติ!C5)</f>
        <v>8.89</v>
      </c>
      <c r="E6" s="11">
        <f>HYPERLINK(IF($L$1="เปิด", "#'รวมปกติ'!" &amp; ADDRESS(ROW(รวมปกติ!D5), COLUMN(รวมปกติ!D5), 4), ""), รวมปกติ!D5)</f>
        <v>0</v>
      </c>
      <c r="F6" s="11">
        <f>HYPERLINK(IF($L$1="เปิด", "#'รวมปกติ'!" &amp; ADDRESS(ROW(รวมปกติ!E5), COLUMN(รวมปกติ!E5), 4), ""), รวมปกติ!E5)</f>
        <v>0</v>
      </c>
      <c r="G6" s="184">
        <f>HYPERLINK(IF($L$1="เปิด", "#'รวมปกติ'!" &amp; ADDRESS(ROW(รวมปกติ!F5), COLUMN(รวมปกติ!F5), 4), ""), รวมปกติ!F5)</f>
        <v>4.4400000000000004</v>
      </c>
      <c r="H6" s="185">
        <f>HYPERLINK(IF($L$1="เปิด", "#'รวมปกติ'!" &amp; ADDRESS(ROW(รวมปกติ!G5), COLUMN(รวมปกติ!G5), 4), ""), รวมปกติ!G5)</f>
        <v>4.4400000000000004</v>
      </c>
      <c r="I6" s="11">
        <f>HYPERLINK(IF($L$1="เปิด", "#'รวมพิเศษ'!" &amp; ADDRESS(ROW(รวมพิเศษ!C3), COLUMN(รวมพิเศษ!C3), 4), ""), รวมพิเศษ!C3)</f>
        <v>2.8</v>
      </c>
      <c r="J6" s="11">
        <f>HYPERLINK(IF($L$1="เปิด", "#'รวมพิเศษ'!" &amp; ADDRESS(ROW(รวมพิเศษ!D3), COLUMN(รวมพิเศษ!D3), 4), ""), รวมพิเศษ!D3)</f>
        <v>0</v>
      </c>
      <c r="K6" s="11">
        <f>HYPERLINK(IF($L$1="เปิด", "#'รวมพิเศษ'!" &amp; ADDRESS(ROW(รวมพิเศษ!E3), COLUMN(รวมพิเศษ!E3), 4), ""), รวมพิเศษ!E3)</f>
        <v>0</v>
      </c>
      <c r="L6" s="184">
        <f>HYPERLINK(IF($L$1="เปิด", "#'รวมพิเศษ'!" &amp; ADDRESS(ROW(รวมพิเศษ!F3), COLUMN(รวมพิเศษ!F3), 4), ""), รวมพิเศษ!F3)</f>
        <v>1.4</v>
      </c>
      <c r="M6" s="185">
        <f>HYPERLINK(IF($L$1="เปิด", "#'รวมพิเศษ'!" &amp; ADDRESS(ROW(รวมพิเศษ!G3), COLUMN(รวมพิเศษ!G3), 4), ""), รวมพิเศษ!G3)</f>
        <v>1.4</v>
      </c>
      <c r="N6" s="181">
        <f t="shared" ref="N6:N7" si="5">D6+I6</f>
        <v>11.690000000000001</v>
      </c>
      <c r="O6" s="11">
        <f t="shared" ref="O6:O7" si="6">E6+J6</f>
        <v>0</v>
      </c>
      <c r="P6" s="11">
        <f t="shared" ref="P6:P7" si="7">F6+K6</f>
        <v>0</v>
      </c>
      <c r="Q6" s="184">
        <f t="shared" ref="Q6:Q7" si="8">G6+L6</f>
        <v>5.84</v>
      </c>
      <c r="R6" s="274">
        <f t="shared" ref="R6:R7" si="9">H6+M6</f>
        <v>5.84</v>
      </c>
    </row>
    <row r="7" spans="1:22" ht="21" x14ac:dyDescent="0.35">
      <c r="A7" s="125" t="str">
        <f>HYPERLINK(IF($L$1="เปิด", "#'รวมปกติ'!A5", "#C7"), IF($L$1="เปิด", "ไปรวมปกติ (A5)", ""))</f>
        <v/>
      </c>
      <c r="B7" s="126" t="str">
        <f>HYPERLINK(IF($L$1="เปิด", "#'รวมพิเศษ'!A5", "#D7"), IF($L$1="เปิด", "ไปรวมพิเศษ (A5)", ""))</f>
        <v/>
      </c>
      <c r="C7" s="7" t="s">
        <v>97</v>
      </c>
      <c r="D7" s="180">
        <f>HYPERLINK(IF($L$1="เปิด", "#'รวมปกติ'!" &amp; ADDRESS(ROW(รวมปกติ!C6), COLUMN(รวมปกติ!C6), 4), ""), รวมปกติ!C6)</f>
        <v>0</v>
      </c>
      <c r="E7" s="12">
        <f>HYPERLINK(IF($L$1="เปิด", "#'รวมปกติ'!" &amp; ADDRESS(ROW(รวมปกติ!D6), COLUMN(รวมปกติ!D6), 4), ""), รวมปกติ!D6)</f>
        <v>0</v>
      </c>
      <c r="F7" s="12">
        <f>HYPERLINK(IF($L$1="เปิด", "#'รวมปกติ'!" &amp; ADDRESS(ROW(รวมปกติ!E6), COLUMN(รวมปกติ!E6), 4), ""), รวมปกติ!E6)</f>
        <v>0</v>
      </c>
      <c r="G7" s="186">
        <f>HYPERLINK(IF($L$1="เปิด", "#'รวมปกติ'!" &amp; ADDRESS(ROW(รวมปกติ!F6), COLUMN(รวมปกติ!F6), 4), ""), รวมปกติ!F6)</f>
        <v>0</v>
      </c>
      <c r="H7" s="187"/>
      <c r="I7" s="12">
        <f>HYPERLINK(IF($L$1="เปิด", "#'รวมพิเศษ'!" &amp; ADDRESS(ROW(รวมพิเศษ!C4), COLUMN(รวมพิเศษ!C4), 4), ""), รวมพิเศษ!C4)</f>
        <v>0</v>
      </c>
      <c r="J7" s="12">
        <f>HYPERLINK(IF($L$1="เปิด", "#'รวมพิเศษ'!" &amp; ADDRESS(ROW(รวมพิเศษ!D4), COLUMN(รวมพิเศษ!D4), 4), ""), รวมพิเศษ!D4)</f>
        <v>0</v>
      </c>
      <c r="K7" s="12">
        <f>HYPERLINK(IF($L$1="เปิด", "#'รวมพิเศษ'!" &amp; ADDRESS(ROW(รวมพิเศษ!E4), COLUMN(รวมพิเศษ!E4), 4), ""), รวมพิเศษ!E4)</f>
        <v>0</v>
      </c>
      <c r="L7" s="186">
        <f>HYPERLINK(IF($L$1="เปิด", "#'รวมพิเศษ'!" &amp; ADDRESS(ROW(รวมพิเศษ!F4), COLUMN(รวมพิเศษ!F4), 4), ""), รวมพิเศษ!F4)</f>
        <v>0</v>
      </c>
      <c r="M7" s="187"/>
      <c r="N7" s="271">
        <f t="shared" si="5"/>
        <v>0</v>
      </c>
      <c r="O7" s="12">
        <f t="shared" si="6"/>
        <v>0</v>
      </c>
      <c r="P7" s="12">
        <f t="shared" si="7"/>
        <v>0</v>
      </c>
      <c r="Q7" s="186">
        <f t="shared" si="8"/>
        <v>0</v>
      </c>
      <c r="R7" s="273">
        <f t="shared" si="9"/>
        <v>0</v>
      </c>
    </row>
    <row r="8" spans="1:22" ht="21" x14ac:dyDescent="0.35">
      <c r="A8" s="117" t="s">
        <v>125</v>
      </c>
      <c r="B8" s="119"/>
      <c r="C8" s="6" t="s">
        <v>8</v>
      </c>
      <c r="D8" s="181">
        <f>HYPERLINK(IF($L$1="เปิด", "#'รวมปกติ'!" &amp; ADDRESS(ROW(รวมปกติ!C7), COLUMN(รวมปกติ!C7), 4), ""), รวมปกติ!C7)</f>
        <v>15.83</v>
      </c>
      <c r="E8" s="11">
        <f>HYPERLINK(IF($L$1="เปิด", "#'รวมปกติ'!" &amp; ADDRESS(ROW(รวมปกติ!D7), COLUMN(รวมปกติ!D7), 4), ""), รวมปกติ!D7)</f>
        <v>0</v>
      </c>
      <c r="F8" s="11">
        <f>HYPERLINK(IF($L$1="เปิด", "#'รวมปกติ'!" &amp; ADDRESS(ROW(รวมปกติ!E7), COLUMN(รวมปกติ!E7), 4), ""), รวมปกติ!E7)</f>
        <v>0</v>
      </c>
      <c r="G8" s="184">
        <f>HYPERLINK(IF($L$1="เปิด", "#'รวมปกติ'!" &amp; ADDRESS(ROW(รวมปกติ!F7), COLUMN(รวมปกติ!F7), 4), ""), รวมปกติ!F7)</f>
        <v>7.92</v>
      </c>
      <c r="H8" s="185">
        <f>HYPERLINK(IF($L$1="เปิด", "#'รวมปกติ'!" &amp; ADDRESS(ROW(รวมปกติ!G7), COLUMN(รวมปกติ!G7), 4), ""), รวมปกติ!G7)</f>
        <v>7.92</v>
      </c>
      <c r="I8" s="11">
        <f>HYPERLINK(IF($L$1="เปิด", "#'รวมพิเศษ'!" &amp; ADDRESS(ROW(รวมพิเศษ!C5), COLUMN(รวมพิเศษ!C5), 4), ""), รวมพิเศษ!C5)</f>
        <v>15.94</v>
      </c>
      <c r="J8" s="11">
        <f>HYPERLINK(IF($L$1="เปิด", "#'รวมพิเศษ'!" &amp; ADDRESS(ROW(รวมพิเศษ!D5), COLUMN(รวมพิเศษ!D5), 4), ""), รวมพิเศษ!D5)</f>
        <v>0</v>
      </c>
      <c r="K8" s="11">
        <f>HYPERLINK(IF($L$1="เปิด", "#'รวมพิเศษ'!" &amp; ADDRESS(ROW(รวมพิเศษ!E5), COLUMN(รวมพิเศษ!E5), 4), ""), รวมพิเศษ!E5)</f>
        <v>0</v>
      </c>
      <c r="L8" s="184">
        <f>HYPERLINK(IF($L$1="เปิด", "#'รวมพิเศษ'!" &amp; ADDRESS(ROW(รวมพิเศษ!F5), COLUMN(รวมพิเศษ!F5), 4), ""), รวมพิเศษ!F5)</f>
        <v>7.97</v>
      </c>
      <c r="M8" s="185">
        <f>HYPERLINK(IF($L$1="เปิด", "#'รวมพิเศษ'!" &amp; ADDRESS(ROW(รวมพิเศษ!G5), COLUMN(รวมพิเศษ!G5), 4), ""), รวมพิเศษ!G5)</f>
        <v>7.97</v>
      </c>
      <c r="N8" s="181">
        <f t="shared" ref="N8:N9" si="10">D8+I8</f>
        <v>31.77</v>
      </c>
      <c r="O8" s="11">
        <f t="shared" ref="O8:O9" si="11">E8+J8</f>
        <v>0</v>
      </c>
      <c r="P8" s="11">
        <f t="shared" ref="P8:P9" si="12">F8+K8</f>
        <v>0</v>
      </c>
      <c r="Q8" s="184">
        <f t="shared" ref="Q8:Q9" si="13">G8+L8</f>
        <v>15.89</v>
      </c>
      <c r="R8" s="274">
        <f t="shared" ref="R8:R9" si="14">H8+M8</f>
        <v>15.89</v>
      </c>
    </row>
    <row r="9" spans="1:22" ht="21" x14ac:dyDescent="0.35">
      <c r="A9" s="125" t="str">
        <f>HYPERLINK(IF($L$1="เปิด", "#'รวมปกติ'!A7", "#C9"), IF($L$1="เปิด", "ไปรวมปกติ (A7)", ""))</f>
        <v/>
      </c>
      <c r="B9" s="126" t="str">
        <f>HYPERLINK(IF($L$1="เปิด", "#'รวมพิเศษ'!A7", "#D9"), IF($L$1="เปิด", "ไปรวมพิเศษ (A5)", ""))</f>
        <v/>
      </c>
      <c r="C9" s="7" t="s">
        <v>97</v>
      </c>
      <c r="D9" s="180">
        <f>HYPERLINK(IF($L$1="เปิด", "#'รวมปกติ'!" &amp; ADDRESS(ROW(รวมปกติ!C8), COLUMN(รวมปกติ!C8), 4), ""), รวมปกติ!C8)</f>
        <v>0</v>
      </c>
      <c r="E9" s="12">
        <f>HYPERLINK(IF($L$1="เปิด", "#'รวมปกติ'!" &amp; ADDRESS(ROW(รวมปกติ!D8), COLUMN(รวมปกติ!D8), 4), ""), รวมปกติ!D8)</f>
        <v>0</v>
      </c>
      <c r="F9" s="12">
        <f>HYPERLINK(IF($L$1="เปิด", "#'รวมปกติ'!" &amp; ADDRESS(ROW(รวมปกติ!E8), COLUMN(รวมปกติ!E8), 4), ""), รวมปกติ!E8)</f>
        <v>0</v>
      </c>
      <c r="G9" s="186">
        <f>HYPERLINK(IF($L$1="เปิด", "#'รวมปกติ'!" &amp; ADDRESS(ROW(รวมปกติ!F8), COLUMN(รวมปกติ!F8), 4), ""), รวมปกติ!F8)</f>
        <v>0</v>
      </c>
      <c r="H9" s="187"/>
      <c r="I9" s="12">
        <f>HYPERLINK(IF($L$1="เปิด", "#'รวมพิเศษ'!" &amp; ADDRESS(ROW(รวมพิเศษ!C6), COLUMN(รวมพิเศษ!C6), 4), ""), รวมพิเศษ!C6)</f>
        <v>0</v>
      </c>
      <c r="J9" s="12">
        <f>HYPERLINK(IF($L$1="เปิด", "#'รวมพิเศษ'!" &amp; ADDRESS(ROW(รวมพิเศษ!D6), COLUMN(รวมพิเศษ!D6), 4), ""), รวมพิเศษ!D6)</f>
        <v>0</v>
      </c>
      <c r="K9" s="12">
        <f>HYPERLINK(IF($L$1="เปิด", "#'รวมพิเศษ'!" &amp; ADDRESS(ROW(รวมพิเศษ!E6), COLUMN(รวมพิเศษ!E6), 4), ""), รวมพิเศษ!E6)</f>
        <v>0</v>
      </c>
      <c r="L9" s="186">
        <f>HYPERLINK(IF($L$1="เปิด", "#'รวมพิเศษ'!" &amp; ADDRESS(ROW(รวมพิเศษ!F6), COLUMN(รวมพิเศษ!F6), 4), ""), รวมพิเศษ!F6)</f>
        <v>0</v>
      </c>
      <c r="M9" s="187"/>
      <c r="N9" s="271">
        <f t="shared" si="10"/>
        <v>0</v>
      </c>
      <c r="O9" s="12">
        <f t="shared" si="11"/>
        <v>0</v>
      </c>
      <c r="P9" s="12">
        <f t="shared" si="12"/>
        <v>0</v>
      </c>
      <c r="Q9" s="186">
        <f t="shared" si="13"/>
        <v>0</v>
      </c>
      <c r="R9" s="273">
        <f t="shared" si="14"/>
        <v>0</v>
      </c>
    </row>
    <row r="10" spans="1:22" ht="21" x14ac:dyDescent="0.35">
      <c r="A10" s="117" t="s">
        <v>6</v>
      </c>
      <c r="B10" s="119"/>
      <c r="C10" s="6" t="s">
        <v>8</v>
      </c>
      <c r="D10" s="181">
        <f>HYPERLINK(IF($L$1="เปิด", "#'รวมปกติ'!" &amp; ADDRESS(ROW(รวมปกติ!C9), COLUMN(รวมปกติ!C9), 4), ""), รวมปกติ!C9)</f>
        <v>1145.9000000000001</v>
      </c>
      <c r="E10" s="11">
        <f>HYPERLINK(IF($L$1="เปิด", "#'รวมปกติ'!" &amp; ADDRESS(ROW(รวมปกติ!D9), COLUMN(รวมปกติ!D9), 4), ""), รวมปกติ!D9)</f>
        <v>468.28</v>
      </c>
      <c r="F10" s="11">
        <f>HYPERLINK(IF($L$1="เปิด", "#'รวมปกติ'!" &amp; ADDRESS(ROW(รวมปกติ!E9), COLUMN(รวมปกติ!E9), 4), ""), รวมปกติ!E9)</f>
        <v>0</v>
      </c>
      <c r="G10" s="184">
        <f>HYPERLINK(IF($L$1="เปิด", "#'รวมปกติ'!" &amp; ADDRESS(ROW(รวมปกติ!F9), COLUMN(รวมปกติ!F9), 4), ""), รวมปกติ!F9)</f>
        <v>807.09</v>
      </c>
      <c r="H10" s="185">
        <f>HYPERLINK(IF($L$1="เปิด", "#'รวมปกติ'!" &amp; ADDRESS(ROW(รวมปกติ!G9), COLUMN(รวมปกติ!G9), 4), ""), รวมปกติ!G9)</f>
        <v>807.09</v>
      </c>
      <c r="I10" s="11">
        <f>HYPERLINK(IF($L$1="เปิด", "#'รวมพิเศษ'!" &amp; ADDRESS(ROW(รวมพิเศษ!C7), COLUMN(รวมพิเศษ!C7), 4), ""), รวมพิเศษ!C7)</f>
        <v>1161.94</v>
      </c>
      <c r="J10" s="11">
        <f>HYPERLINK(IF($L$1="เปิด", "#'รวมพิเศษ'!" &amp; ADDRESS(ROW(รวมพิเศษ!D7), COLUMN(รวมพิเศษ!D7), 4), ""), รวมพิเศษ!D7)</f>
        <v>1380.5</v>
      </c>
      <c r="K10" s="11">
        <f>HYPERLINK(IF($L$1="เปิด", "#'รวมพิเศษ'!" &amp; ADDRESS(ROW(รวมพิเศษ!E7), COLUMN(รวมพิเศษ!E7), 4), ""), รวมพิเศษ!E7)</f>
        <v>1</v>
      </c>
      <c r="L10" s="184">
        <f>HYPERLINK(IF($L$1="เปิด", "#'รวมพิเศษ'!" &amp; ADDRESS(ROW(รวมพิเศษ!F7), COLUMN(รวมพิเศษ!F7), 4), ""), รวมพิเศษ!F7)</f>
        <v>1271.72</v>
      </c>
      <c r="M10" s="185">
        <f>HYPERLINK(IF($L$1="เปิด", "#'รวมพิเศษ'!" &amp; ADDRESS(ROW(รวมพิเศษ!G7), COLUMN(รวมพิเศษ!G7), 4), ""), รวมพิเศษ!G7)</f>
        <v>1447.904</v>
      </c>
      <c r="N10" s="181">
        <f t="shared" si="0"/>
        <v>2307.84</v>
      </c>
      <c r="O10" s="11">
        <f t="shared" si="1"/>
        <v>1848.78</v>
      </c>
      <c r="P10" s="11">
        <f t="shared" si="2"/>
        <v>1</v>
      </c>
      <c r="Q10" s="184">
        <f t="shared" si="3"/>
        <v>2078.81</v>
      </c>
      <c r="R10" s="274">
        <f t="shared" si="4"/>
        <v>2254.9940000000001</v>
      </c>
    </row>
    <row r="11" spans="1:22" ht="21" x14ac:dyDescent="0.35">
      <c r="A11" s="125" t="str">
        <f>HYPERLINK(IF($L$1="เปิด", "#'รวมปกติ'!A9", "#C11"), IF($L$1="เปิด", "ไปรวมปกติ (A9)", ""))</f>
        <v/>
      </c>
      <c r="B11" s="126" t="str">
        <f>HYPERLINK(IF($L$1="เปิด", "#'รวมพิเศษ'!A9", "#D11"), IF($L$1="เปิด", "ไปรวมพิเศษ (A9)", ""))</f>
        <v/>
      </c>
      <c r="C11" s="7" t="s">
        <v>97</v>
      </c>
      <c r="D11" s="180">
        <f>HYPERLINK(IF($L$1="เปิด", "#'รวมปกติ'!" &amp; ADDRESS(ROW(รวมปกติ!C10), COLUMN(รวมปกติ!C10), 4), ""), รวมปกติ!C10)</f>
        <v>0</v>
      </c>
      <c r="E11" s="12">
        <f>HYPERLINK(IF($L$1="เปิด", "#'รวมปกติ'!" &amp; ADDRESS(ROW(รวมปกติ!D10), COLUMN(รวมปกติ!D10), 4), ""), รวมปกติ!D10)</f>
        <v>0</v>
      </c>
      <c r="F11" s="12">
        <f>HYPERLINK(IF($L$1="เปิด", "#'รวมปกติ'!" &amp; ADDRESS(ROW(รวมปกติ!E10), COLUMN(รวมปกติ!E10), 4), ""), รวมปกติ!E10)</f>
        <v>0</v>
      </c>
      <c r="G11" s="186">
        <f>HYPERLINK(IF($L$1="เปิด", "#'รวมปกติ'!" &amp; ADDRESS(ROW(รวมปกติ!F10), COLUMN(รวมปกติ!F10), 4), ""), รวมปกติ!F10)</f>
        <v>0</v>
      </c>
      <c r="H11" s="187"/>
      <c r="I11" s="12">
        <f>HYPERLINK(IF($L$1="เปิด", "#'รวมพิเศษ'!" &amp; ADDRESS(ROW(รวมพิเศษ!C8), COLUMN(รวมพิเศษ!C8), 4), ""), รวมพิเศษ!C8)</f>
        <v>185.4</v>
      </c>
      <c r="J11" s="12">
        <f>HYPERLINK(IF($L$1="เปิด", "#'รวมพิเศษ'!" &amp; ADDRESS(ROW(รวมพิเศษ!D8), COLUMN(รวมพิเศษ!D8), 4), ""), รวมพิเศษ!D8)</f>
        <v>162.45000000000002</v>
      </c>
      <c r="K11" s="12">
        <f>HYPERLINK(IF($L$1="เปิด", "#'รวมพิเศษ'!" &amp; ADDRESS(ROW(รวมพิเศษ!E8), COLUMN(รวมพิเศษ!E8), 4), ""), รวมพิเศษ!E8)</f>
        <v>4.5</v>
      </c>
      <c r="L11" s="186">
        <f>HYPERLINK(IF($L$1="เปิด", "#'รวมพิเศษ'!" &amp; ADDRESS(ROW(รวมพิเศษ!F8), COLUMN(รวมพิเศษ!F8), 4), ""), รวมพิเศษ!F8)</f>
        <v>176.18400000000003</v>
      </c>
      <c r="M11" s="187"/>
      <c r="N11" s="271">
        <f t="shared" si="0"/>
        <v>185.4</v>
      </c>
      <c r="O11" s="12">
        <f t="shared" si="1"/>
        <v>162.45000000000002</v>
      </c>
      <c r="P11" s="12">
        <f t="shared" si="2"/>
        <v>4.5</v>
      </c>
      <c r="Q11" s="186">
        <f t="shared" si="3"/>
        <v>176.18400000000003</v>
      </c>
      <c r="R11" s="273">
        <f t="shared" si="4"/>
        <v>0</v>
      </c>
    </row>
    <row r="12" spans="1:22" ht="21" x14ac:dyDescent="0.35">
      <c r="A12" s="9" t="s">
        <v>12</v>
      </c>
      <c r="B12" s="120"/>
      <c r="C12" s="8" t="s">
        <v>8</v>
      </c>
      <c r="D12" s="182">
        <f>HYPERLINK(IF($L$1="เปิด", "#'รวมปกติ'!" &amp; ADDRESS(ROW(รวมปกติ!C11), COLUMN(รวมปกติ!C11), 4), ""), รวมปกติ!C11)</f>
        <v>547.94000000000005</v>
      </c>
      <c r="E12" s="13">
        <f>HYPERLINK(IF($L$1="เปิด", "#'รวมปกติ'!" &amp; ADDRESS(ROW(รวมปกติ!D11), COLUMN(รวมปกติ!D11), 4), ""), รวมปกติ!D11)</f>
        <v>449.56</v>
      </c>
      <c r="F12" s="13">
        <f>HYPERLINK(IF($L$1="เปิด", "#'รวมปกติ'!" &amp; ADDRESS(ROW(รวมปกติ!E11), COLUMN(รวมปกติ!E11), 4), ""), รวมปกติ!E11)</f>
        <v>2.11</v>
      </c>
      <c r="G12" s="188">
        <f>HYPERLINK(IF($L$1="เปิด", "#'รวมปกติ'!" &amp; ADDRESS(ROW(รวมปกติ!F11), COLUMN(รวมปกติ!F11), 4), ""), รวมปกติ!F11)</f>
        <v>499.81</v>
      </c>
      <c r="H12" s="189">
        <f>HYPERLINK(IF($L$1="เปิด", "#'รวมปกติ'!" &amp; ADDRESS(ROW(รวมปกติ!G11), COLUMN(รวมปกติ!G11), 4), ""), รวมปกติ!G11)</f>
        <v>604.77</v>
      </c>
      <c r="I12" s="11">
        <f>HYPERLINK(IF($L$1="เปิด", "#'รวมพิเศษ'!" &amp; ADDRESS(ROW(รวมพิเศษ!C9), COLUMN(รวมพิเศษ!C9), 4), ""), รวมพิเศษ!C9)</f>
        <v>0</v>
      </c>
      <c r="J12" s="13">
        <f>HYPERLINK(IF($L$1="เปิด", "#'รวมพิเศษ'!" &amp; ADDRESS(ROW(รวมพิเศษ!D9), COLUMN(รวมพิเศษ!D9), 4), ""), รวมพิเศษ!D9)</f>
        <v>0</v>
      </c>
      <c r="K12" s="13">
        <f>HYPERLINK(IF($L$1="เปิด", "#'รวมพิเศษ'!" &amp; ADDRESS(ROW(รวมพิเศษ!E9), COLUMN(รวมพิเศษ!E9), 4), ""), รวมพิเศษ!E9)</f>
        <v>0</v>
      </c>
      <c r="L12" s="188">
        <f>HYPERLINK(IF($L$1="เปิด", "#'รวมพิเศษ'!" &amp; ADDRESS(ROW(รวมพิเศษ!F9), COLUMN(รวมพิเศษ!F9), 4), ""), รวมพิเศษ!F9)</f>
        <v>0</v>
      </c>
      <c r="M12" s="189">
        <f>HYPERLINK(IF($L$1="เปิด", "#'รวมพิเศษ'!" &amp; ADDRESS(ROW(รวมพิเศษ!G9), COLUMN(รวมพิเศษ!G9), 4), ""), รวมพิเศษ!G9)</f>
        <v>82.79</v>
      </c>
      <c r="N12" s="181">
        <f t="shared" si="0"/>
        <v>547.94000000000005</v>
      </c>
      <c r="O12" s="11">
        <f t="shared" si="1"/>
        <v>449.56</v>
      </c>
      <c r="P12" s="11">
        <f t="shared" si="2"/>
        <v>2.11</v>
      </c>
      <c r="Q12" s="184">
        <f t="shared" si="3"/>
        <v>499.81</v>
      </c>
      <c r="R12" s="274">
        <f t="shared" si="4"/>
        <v>687.56</v>
      </c>
    </row>
    <row r="13" spans="1:22" ht="21" x14ac:dyDescent="0.35">
      <c r="A13" s="125" t="str">
        <f>HYPERLINK(IF($L$1="เปิด", "#'รวมปกติ'!A11", "#C13"), IF($L$1="เปิด", "ไปรวมปกติ (A11)", ""))</f>
        <v/>
      </c>
      <c r="B13" s="126" t="str">
        <f>HYPERLINK(IF($L$1="เปิด", "#'รวมพิเศษ'!A11", "#D13"), IF($L$1="เปิด", "ไปรวมพิเศษ (A11)", ""))</f>
        <v/>
      </c>
      <c r="C13" s="7" t="s">
        <v>97</v>
      </c>
      <c r="D13" s="180">
        <f>HYPERLINK(IF($L$1="เปิด", "#'รวมปกติ'!" &amp; ADDRESS(ROW(รวมปกติ!C12), COLUMN(รวมปกติ!C12), 4), ""), รวมปกติ!C12)</f>
        <v>131.42000000000002</v>
      </c>
      <c r="E13" s="12">
        <f>HYPERLINK(IF($L$1="เปิด", "#'รวมปกติ'!" &amp; ADDRESS(ROW(รวมปกติ!D12), COLUMN(รวมปกติ!D12), 4), ""), รวมปกติ!D12)</f>
        <v>78.5</v>
      </c>
      <c r="F13" s="12">
        <f>HYPERLINK(IF($L$1="เปิด", "#'รวมปกติ'!" &amp; ADDRESS(ROW(รวมปกติ!E12), COLUMN(รวมปกติ!E12), 4), ""), รวมปกติ!E12)</f>
        <v>0</v>
      </c>
      <c r="G13" s="186">
        <f>HYPERLINK(IF($L$1="เปิด", "#'รวมปกติ'!" &amp; ADDRESS(ROW(รวมปกติ!F12), COLUMN(รวมปกติ!F12), 4), ""), รวมปกติ!F12)</f>
        <v>104.96</v>
      </c>
      <c r="H13" s="187"/>
      <c r="I13" s="12">
        <f>HYPERLINK(IF($L$1="เปิด", "#'รวมพิเศษ'!" &amp; ADDRESS(ROW(รวมพิเศษ!C10), COLUMN(รวมพิเศษ!C10), 4), ""), รวมพิเศษ!C10)</f>
        <v>100.25</v>
      </c>
      <c r="J13" s="12">
        <f>HYPERLINK(IF($L$1="เปิด", "#'รวมพิเศษ'!" &amp; ADDRESS(ROW(รวมพิเศษ!D10), COLUMN(รวมพิเศษ!D10), 4), ""), รวมพิเศษ!D10)</f>
        <v>65.33</v>
      </c>
      <c r="K13" s="12">
        <f>HYPERLINK(IF($L$1="เปิด", "#'รวมพิเศษ'!" &amp; ADDRESS(ROW(รวมพิเศษ!E10), COLUMN(รวมพิเศษ!E10), 4), ""), รวมพิเศษ!E10)</f>
        <v>0</v>
      </c>
      <c r="L13" s="186">
        <f>HYPERLINK(IF($L$1="เปิด", "#'รวมพิเศษ'!" &amp; ADDRESS(ROW(รวมพิเศษ!F10), COLUMN(รวมพิเศษ!F10), 4), ""), รวมพิเศษ!F10)</f>
        <v>82.79</v>
      </c>
      <c r="M13" s="187"/>
      <c r="N13" s="271">
        <f t="shared" si="0"/>
        <v>231.67000000000002</v>
      </c>
      <c r="O13" s="12">
        <f t="shared" si="1"/>
        <v>143.82999999999998</v>
      </c>
      <c r="P13" s="12">
        <f t="shared" si="2"/>
        <v>0</v>
      </c>
      <c r="Q13" s="186">
        <f t="shared" si="3"/>
        <v>187.75</v>
      </c>
      <c r="R13" s="273">
        <f t="shared" si="4"/>
        <v>0</v>
      </c>
    </row>
    <row r="14" spans="1:22" ht="21" x14ac:dyDescent="0.35">
      <c r="A14" s="9" t="s">
        <v>13</v>
      </c>
      <c r="B14" s="120"/>
      <c r="C14" s="8" t="s">
        <v>8</v>
      </c>
      <c r="D14" s="182">
        <f>HYPERLINK(IF($L$1="เปิด", "#'รวมปกติ'!" &amp; ADDRESS(ROW(รวมปกติ!C13), COLUMN(รวมปกติ!C13), 4), ""), รวมปกติ!C13)</f>
        <v>524.52</v>
      </c>
      <c r="E14" s="13">
        <f>HYPERLINK(IF($L$1="เปิด", "#'รวมปกติ'!" &amp; ADDRESS(ROW(รวมปกติ!D13), COLUMN(รวมปกติ!D13), 4), ""), รวมปกติ!D13)</f>
        <v>100.17</v>
      </c>
      <c r="F14" s="13">
        <f>HYPERLINK(IF($L$1="เปิด", "#'รวมปกติ'!" &amp; ADDRESS(ROW(รวมปกติ!E13), COLUMN(รวมปกติ!E13), 4), ""), รวมปกติ!E13)</f>
        <v>23</v>
      </c>
      <c r="G14" s="188">
        <f>HYPERLINK(IF($L$1="เปิด", "#'รวมปกติ'!" &amp; ADDRESS(ROW(รวมปกติ!F13), COLUMN(รวมปกติ!F13), 4), ""), รวมปกติ!F13)</f>
        <v>323.83999999999997</v>
      </c>
      <c r="H14" s="189">
        <f>HYPERLINK(IF($L$1="เปิด", "#'รวมปกติ'!" &amp; ADDRESS(ROW(รวมปกติ!G13), COLUMN(รวมปกติ!G13), 4), ""), รวมปกติ!G13)</f>
        <v>323.83999999999997</v>
      </c>
      <c r="I14" s="11">
        <f>HYPERLINK(IF($L$1="เปิด", "#'รวมพิเศษ'!" &amp; ADDRESS(ROW(รวมพิเศษ!C11), COLUMN(รวมพิเศษ!C11), 4), ""), รวมพิเศษ!C11)</f>
        <v>24.92</v>
      </c>
      <c r="J14" s="13">
        <f>HYPERLINK(IF($L$1="เปิด", "#'รวมพิเศษ'!" &amp; ADDRESS(ROW(รวมพิเศษ!D11), COLUMN(รวมพิเศษ!D11), 4), ""), รวมพิเศษ!D11)</f>
        <v>2.11</v>
      </c>
      <c r="K14" s="13">
        <f>HYPERLINK(IF($L$1="เปิด", "#'รวมพิเศษ'!" &amp; ADDRESS(ROW(รวมพิเศษ!E11), COLUMN(รวมพิเศษ!E11), 4), ""), รวมพิเศษ!E11)</f>
        <v>0</v>
      </c>
      <c r="L14" s="188">
        <f>HYPERLINK(IF($L$1="เปิด", "#'รวมพิเศษ'!" &amp; ADDRESS(ROW(รวมพิเศษ!F11), COLUMN(รวมพิเศษ!F11), 4), ""), รวมพิเศษ!F11)</f>
        <v>13.51</v>
      </c>
      <c r="M14" s="189">
        <f>HYPERLINK(IF($L$1="เปิด", "#'รวมพิเศษ'!" &amp; ADDRESS(ROW(รวมพิเศษ!G11), COLUMN(รวมพิเศษ!G11), 4), ""), รวมพิเศษ!G11)</f>
        <v>13.51</v>
      </c>
      <c r="N14" s="181">
        <f t="shared" si="0"/>
        <v>549.43999999999994</v>
      </c>
      <c r="O14" s="11">
        <f t="shared" si="1"/>
        <v>102.28</v>
      </c>
      <c r="P14" s="11">
        <f t="shared" si="2"/>
        <v>23</v>
      </c>
      <c r="Q14" s="184">
        <f t="shared" si="3"/>
        <v>337.34999999999997</v>
      </c>
      <c r="R14" s="274">
        <f t="shared" si="4"/>
        <v>337.34999999999997</v>
      </c>
    </row>
    <row r="15" spans="1:22" ht="21" x14ac:dyDescent="0.35">
      <c r="A15" s="125" t="str">
        <f>HYPERLINK(IF($L$1="เปิด", "#'รวมปกติ'!A13", "#C15"), IF($L$1="เปิด", "ไปรวมปกติ (A13)", ""))</f>
        <v/>
      </c>
      <c r="B15" s="126" t="str">
        <f>HYPERLINK(IF($L$1="เปิด", "#'รวมพิเศษ'!A13", "#D15"), IF($L$1="เปิด", "ไปรวมพิเศษ (A13)", ""))</f>
        <v/>
      </c>
      <c r="C15" s="7" t="s">
        <v>97</v>
      </c>
      <c r="D15" s="180">
        <f>HYPERLINK(IF($L$1="เปิด", "#'รวมปกติ'!" &amp; ADDRESS(ROW(รวมปกติ!C14), COLUMN(รวมปกติ!C14), 4), ""), รวมปกติ!C14)</f>
        <v>0</v>
      </c>
      <c r="E15" s="12">
        <f>HYPERLINK(IF($L$1="เปิด", "#'รวมปกติ'!" &amp; ADDRESS(ROW(รวมปกติ!D14), COLUMN(รวมปกติ!D14), 4), ""), รวมปกติ!D14)</f>
        <v>0</v>
      </c>
      <c r="F15" s="12">
        <f>HYPERLINK(IF($L$1="เปิด", "#'รวมปกติ'!" &amp; ADDRESS(ROW(รวมปกติ!E14), COLUMN(รวมปกติ!E14), 4), ""), รวมปกติ!E14)</f>
        <v>0</v>
      </c>
      <c r="G15" s="186">
        <f>HYPERLINK(IF($L$1="เปิด", "#'รวมปกติ'!" &amp; ADDRESS(ROW(รวมปกติ!F14), COLUMN(รวมปกติ!F14), 4), ""), รวมปกติ!F14)</f>
        <v>0</v>
      </c>
      <c r="H15" s="187"/>
      <c r="I15" s="12">
        <f>HYPERLINK(IF($L$1="เปิด", "#'รวมพิเศษ'!" &amp; ADDRESS(ROW(รวมพิเศษ!C12), COLUMN(รวมพิเศษ!C12), 4), ""), รวมพิเศษ!C12)</f>
        <v>0</v>
      </c>
      <c r="J15" s="12">
        <f>HYPERLINK(IF($L$1="เปิด", "#'รวมพิเศษ'!" &amp; ADDRESS(ROW(รวมพิเศษ!D12), COLUMN(รวมพิเศษ!D12), 4), ""), รวมพิเศษ!D12)</f>
        <v>0</v>
      </c>
      <c r="K15" s="12">
        <f>HYPERLINK(IF($L$1="เปิด", "#'รวมพิเศษ'!" &amp; ADDRESS(ROW(รวมพิเศษ!E12), COLUMN(รวมพิเศษ!E12), 4), ""), รวมพิเศษ!E12)</f>
        <v>0</v>
      </c>
      <c r="L15" s="186">
        <f>HYPERLINK(IF($L$1="เปิด", "#'รวมพิเศษ'!" &amp; ADDRESS(ROW(รวมพิเศษ!F12), COLUMN(รวมพิเศษ!F12), 4), ""), รวมพิเศษ!F12)</f>
        <v>0</v>
      </c>
      <c r="M15" s="187"/>
      <c r="N15" s="271">
        <f t="shared" si="0"/>
        <v>0</v>
      </c>
      <c r="O15" s="12">
        <f t="shared" si="1"/>
        <v>0</v>
      </c>
      <c r="P15" s="12">
        <f t="shared" si="2"/>
        <v>0</v>
      </c>
      <c r="Q15" s="186">
        <f t="shared" si="3"/>
        <v>0</v>
      </c>
      <c r="R15" s="273">
        <f t="shared" si="4"/>
        <v>0</v>
      </c>
    </row>
    <row r="16" spans="1:22" ht="21" x14ac:dyDescent="0.35">
      <c r="A16" s="9" t="s">
        <v>23</v>
      </c>
      <c r="B16" s="120"/>
      <c r="C16" s="8" t="s">
        <v>8</v>
      </c>
      <c r="D16" s="182">
        <f>HYPERLINK(IF($L$1="เปิด", "#'รวมปกติ'!" &amp; ADDRESS(ROW(รวมปกติ!C15), COLUMN(รวมปกติ!C15), 4), ""), รวมปกติ!C15)</f>
        <v>162.11000000000001</v>
      </c>
      <c r="E16" s="13">
        <f>HYPERLINK(IF($L$1="เปิด", "#'รวมปกติ'!" &amp; ADDRESS(ROW(รวมปกติ!D15), COLUMN(รวมปกติ!D15), 4), ""), รวมปกติ!D15)</f>
        <v>212</v>
      </c>
      <c r="F16" s="13">
        <f>HYPERLINK(IF($L$1="เปิด", "#'รวมปกติ'!" &amp; ADDRESS(ROW(รวมปกติ!E15), COLUMN(รวมปกติ!E15), 4), ""), รวมปกติ!E15)</f>
        <v>0</v>
      </c>
      <c r="G16" s="188">
        <f>HYPERLINK(IF($L$1="เปิด", "#'รวมปกติ'!" &amp; ADDRESS(ROW(รวมปกติ!F15), COLUMN(รวมปกติ!F15), 4), ""), รวมปกติ!F15)</f>
        <v>187.06</v>
      </c>
      <c r="H16" s="189">
        <f>HYPERLINK(IF($L$1="เปิด", "#'รวมปกติ'!" &amp; ADDRESS(ROW(รวมปกติ!G15), COLUMN(รวมปกติ!G15), 4), ""), รวมปกติ!G15)</f>
        <v>192.06</v>
      </c>
      <c r="I16" s="13">
        <f>HYPERLINK(IF($L$1="เปิด", "#'รวมพิเศษ'!" &amp; ADDRESS(ROW(รวมพิเศษ!C13), COLUMN(รวมพิเศษ!C13), 4), ""), รวมพิเศษ!C13)</f>
        <v>0</v>
      </c>
      <c r="J16" s="13">
        <f>HYPERLINK(IF($L$1="เปิด", "#'รวมพิเศษ'!" &amp; ADDRESS(ROW(รวมพิเศษ!D13), COLUMN(รวมพิเศษ!D13), 4), ""), รวมพิเศษ!D13)</f>
        <v>5.67</v>
      </c>
      <c r="K16" s="13">
        <f>HYPERLINK(IF($L$1="เปิด", "#'รวมพิเศษ'!" &amp; ADDRESS(ROW(รวมพิเศษ!E13), COLUMN(รวมพิเศษ!E13), 4), ""), รวมพิเศษ!E13)</f>
        <v>0</v>
      </c>
      <c r="L16" s="188">
        <f>HYPERLINK(IF($L$1="เปิด", "#'รวมพิเศษ'!" &amp; ADDRESS(ROW(รวมพิเศษ!F13), COLUMN(รวมพิเศษ!F13), 4), ""), รวมพิเศษ!F13)</f>
        <v>2.83</v>
      </c>
      <c r="M16" s="189">
        <f>HYPERLINK(IF($L$1="เปิด", "#'รวมพิเศษ'!" &amp; ADDRESS(ROW(รวมพิเศษ!G13), COLUMN(รวมพิเศษ!G13), 4), ""), รวมพิเศษ!G13)</f>
        <v>2.83</v>
      </c>
      <c r="N16" s="181">
        <f t="shared" si="0"/>
        <v>162.11000000000001</v>
      </c>
      <c r="O16" s="11">
        <f t="shared" si="1"/>
        <v>217.67</v>
      </c>
      <c r="P16" s="11">
        <f t="shared" si="2"/>
        <v>0</v>
      </c>
      <c r="Q16" s="184">
        <f t="shared" si="3"/>
        <v>189.89000000000001</v>
      </c>
      <c r="R16" s="274">
        <f t="shared" si="4"/>
        <v>194.89000000000001</v>
      </c>
    </row>
    <row r="17" spans="1:18" ht="21" x14ac:dyDescent="0.35">
      <c r="A17" s="125" t="str">
        <f>HYPERLINK(IF($L$1="เปิด", "#'รวมปกติ'!A15", "#C17"), IF($L$1="เปิด", "ไปรวมปกติ (A15)", ""))</f>
        <v/>
      </c>
      <c r="B17" s="126" t="str">
        <f>HYPERLINK(IF($L$1="เปิด", "#'รวมพิเศษ'!A15", "#D17"), IF($L$1="เปิด", "ไปรวมพิเศษ (A15)", ""))</f>
        <v/>
      </c>
      <c r="C17" s="7" t="s">
        <v>97</v>
      </c>
      <c r="D17" s="180">
        <f>HYPERLINK(IF($L$1="เปิด", "#'รวมปกติ'!" &amp; ADDRESS(ROW(รวมปกติ!C16), COLUMN(รวมปกติ!C16), 4), ""), รวมปกติ!C16)</f>
        <v>0</v>
      </c>
      <c r="E17" s="12">
        <f>HYPERLINK(IF($L$1="เปิด", "#'รวมปกติ'!" &amp; ADDRESS(ROW(รวมปกติ!D16), COLUMN(รวมปกติ!D16), 4), ""), รวมปกติ!D16)</f>
        <v>10</v>
      </c>
      <c r="F17" s="12">
        <f>HYPERLINK(IF($L$1="เปิด", "#'รวมปกติ'!" &amp; ADDRESS(ROW(รวมปกติ!E16), COLUMN(รวมปกติ!E16), 4), ""), รวมปกติ!E16)</f>
        <v>0</v>
      </c>
      <c r="G17" s="186">
        <f>HYPERLINK(IF($L$1="เปิด", "#'รวมปกติ'!" &amp; ADDRESS(ROW(รวมปกติ!F16), COLUMN(รวมปกติ!F16), 4), ""), รวมปกติ!F16)</f>
        <v>5</v>
      </c>
      <c r="H17" s="187"/>
      <c r="I17" s="12">
        <f>HYPERLINK(IF($L$1="เปิด", "#'รวมพิเศษ'!" &amp; ADDRESS(ROW(รวมพิเศษ!C14), COLUMN(รวมพิเศษ!C14), 4), ""), รวมพิเศษ!C14)</f>
        <v>0</v>
      </c>
      <c r="J17" s="12">
        <f>HYPERLINK(IF($L$1="เปิด", "#'รวมพิเศษ'!" &amp; ADDRESS(ROW(รวมพิเศษ!D14), COLUMN(รวมพิเศษ!D14), 4), ""), รวมพิเศษ!D14)</f>
        <v>0</v>
      </c>
      <c r="K17" s="12">
        <f>HYPERLINK(IF($L$1="เปิด", "#'รวมพิเศษ'!" &amp; ADDRESS(ROW(รวมพิเศษ!E14), COLUMN(รวมพิเศษ!E14), 4), ""), รวมพิเศษ!E14)</f>
        <v>0</v>
      </c>
      <c r="L17" s="186">
        <f>HYPERLINK(IF($L$1="เปิด", "#'รวมพิเศษ'!" &amp; ADDRESS(ROW(รวมพิเศษ!F14), COLUMN(รวมพิเศษ!F14), 4), ""), รวมพิเศษ!F14)</f>
        <v>0</v>
      </c>
      <c r="M17" s="187"/>
      <c r="N17" s="271">
        <f t="shared" si="0"/>
        <v>0</v>
      </c>
      <c r="O17" s="12">
        <f t="shared" si="1"/>
        <v>10</v>
      </c>
      <c r="P17" s="12">
        <f t="shared" si="2"/>
        <v>0</v>
      </c>
      <c r="Q17" s="186">
        <f t="shared" si="3"/>
        <v>5</v>
      </c>
      <c r="R17" s="273">
        <f t="shared" si="4"/>
        <v>0</v>
      </c>
    </row>
    <row r="18" spans="1:18" ht="21" x14ac:dyDescent="0.35">
      <c r="A18" s="9" t="s">
        <v>24</v>
      </c>
      <c r="B18" s="120"/>
      <c r="C18" s="8" t="s">
        <v>8</v>
      </c>
      <c r="D18" s="182">
        <f>HYPERLINK(IF($L$1="เปิด", "#'รวมปกติ'!" &amp; ADDRESS(ROW(รวมปกติ!C17), COLUMN(รวมปกติ!C17), 4), ""), รวมปกติ!C17)</f>
        <v>1079.5899999999999</v>
      </c>
      <c r="E18" s="13">
        <f>HYPERLINK(IF($L$1="เปิด", "#'รวมปกติ'!" &amp; ADDRESS(ROW(รวมปกติ!D17), COLUMN(รวมปกติ!D17), 4), ""), รวมปกติ!D17)</f>
        <v>1104.17</v>
      </c>
      <c r="F18" s="13">
        <f>HYPERLINK(IF($L$1="เปิด", "#'รวมปกติ'!" &amp; ADDRESS(ROW(รวมปกติ!E17), COLUMN(รวมปกติ!E17), 4), ""), รวมปกติ!E17)</f>
        <v>59.06</v>
      </c>
      <c r="G18" s="188">
        <f>HYPERLINK(IF($L$1="เปิด", "#'รวมปกติ'!" &amp; ADDRESS(ROW(รวมปกติ!F17), COLUMN(รวมปกติ!F17), 4), ""), รวมปกติ!F17)</f>
        <v>1121.4100000000001</v>
      </c>
      <c r="H18" s="189">
        <f>HYPERLINK(IF($L$1="เปิด", "#'รวมปกติ'!" &amp; ADDRESS(ROW(รวมปกติ!G17), COLUMN(รวมปกติ!G17), 4), ""), รวมปกติ!G17)</f>
        <v>1124.24</v>
      </c>
      <c r="I18" s="13">
        <f>HYPERLINK(IF($L$1="เปิด", "#'รวมพิเศษ'!" &amp; ADDRESS(ROW(รวมพิเศษ!C15), COLUMN(รวมพิเศษ!C15), 4), ""), รวมพิเศษ!C15)</f>
        <v>26.29</v>
      </c>
      <c r="J18" s="13">
        <f>HYPERLINK(IF($L$1="เปิด", "#'รวมพิเศษ'!" &amp; ADDRESS(ROW(รวมพิเศษ!D15), COLUMN(รวมพิเศษ!D15), 4), ""), รวมพิเศษ!D15)</f>
        <v>2.11</v>
      </c>
      <c r="K18" s="13">
        <f>HYPERLINK(IF($L$1="เปิด", "#'รวมพิเศษ'!" &amp; ADDRESS(ROW(รวมพิเศษ!E15), COLUMN(รวมพิเศษ!E15), 4), ""), รวมพิเศษ!E15)</f>
        <v>0</v>
      </c>
      <c r="L18" s="188">
        <f>HYPERLINK(IF($L$1="เปิด", "#'รวมพิเศษ'!" &amp; ADDRESS(ROW(รวมพิเศษ!F15), COLUMN(รวมพิเศษ!F15), 4), ""), รวมพิเศษ!F15)</f>
        <v>14.2</v>
      </c>
      <c r="M18" s="189">
        <f>HYPERLINK(IF($L$1="เปิด", "#'รวมพิเศษ'!" &amp; ADDRESS(ROW(รวมพิเศษ!G15), COLUMN(รวมพิเศษ!G15), 4), ""), รวมพิเศษ!G15)</f>
        <v>14.2</v>
      </c>
      <c r="N18" s="181">
        <f t="shared" si="0"/>
        <v>1105.8799999999999</v>
      </c>
      <c r="O18" s="11">
        <f t="shared" si="1"/>
        <v>1106.28</v>
      </c>
      <c r="P18" s="11">
        <f t="shared" si="2"/>
        <v>59.06</v>
      </c>
      <c r="Q18" s="184">
        <f t="shared" si="3"/>
        <v>1135.6100000000001</v>
      </c>
      <c r="R18" s="274">
        <f t="shared" si="4"/>
        <v>1138.44</v>
      </c>
    </row>
    <row r="19" spans="1:18" ht="21" x14ac:dyDescent="0.35">
      <c r="A19" s="125" t="str">
        <f>HYPERLINK(IF($L$1="เปิด", "#'รวมปกติ'!A17", "#C19"), IF($L$1="เปิด", "ไปรวมปกติ (A17)", ""))</f>
        <v/>
      </c>
      <c r="B19" s="126" t="str">
        <f>HYPERLINK(IF($L$1="เปิด", "#'รวมพิเศษ'!A17", "#D19"), IF($L$1="เปิด", "ไปรวมพิเศษ (A17)", ""))</f>
        <v/>
      </c>
      <c r="C19" s="7" t="s">
        <v>97</v>
      </c>
      <c r="D19" s="180">
        <f>HYPERLINK(IF($L$1="เปิด", "#'รวมปกติ'!" &amp; ADDRESS(ROW(รวมปกติ!C18), COLUMN(รวมปกติ!C18), 4), ""), รวมปกติ!C18)</f>
        <v>3.25</v>
      </c>
      <c r="E19" s="12">
        <f>HYPERLINK(IF($L$1="เปิด", "#'รวมปกติ'!" &amp; ADDRESS(ROW(รวมปกติ!D18), COLUMN(รวมปกติ!D18), 4), ""), รวมปกติ!D18)</f>
        <v>2.42</v>
      </c>
      <c r="F19" s="12">
        <f>HYPERLINK(IF($L$1="เปิด", "#'รวมปกติ'!" &amp; ADDRESS(ROW(รวมปกติ!E18), COLUMN(รวมปกติ!E18), 4), ""), รวมปกติ!E18)</f>
        <v>0</v>
      </c>
      <c r="G19" s="186">
        <f>HYPERLINK(IF($L$1="เปิด", "#'รวมปกติ'!" &amp; ADDRESS(ROW(รวมปกติ!F18), COLUMN(รวมปกติ!F18), 4), ""), รวมปกติ!F18)</f>
        <v>2.83</v>
      </c>
      <c r="H19" s="187"/>
      <c r="I19" s="12">
        <f>HYPERLINK(IF($L$1="เปิด", "#'รวมพิเศษ'!" &amp; ADDRESS(ROW(รวมพิเศษ!C16), COLUMN(รวมพิเศษ!C16), 4), ""), รวมพิเศษ!C16)</f>
        <v>0</v>
      </c>
      <c r="J19" s="12">
        <f>HYPERLINK(IF($L$1="เปิด", "#'รวมพิเศษ'!" &amp; ADDRESS(ROW(รวมพิเศษ!D16), COLUMN(รวมพิเศษ!D16), 4), ""), รวมพิเศษ!D16)</f>
        <v>0</v>
      </c>
      <c r="K19" s="12">
        <f>HYPERLINK(IF($L$1="เปิด", "#'รวมพิเศษ'!" &amp; ADDRESS(ROW(รวมพิเศษ!E16), COLUMN(รวมพิเศษ!E16), 4), ""), รวมพิเศษ!E16)</f>
        <v>0</v>
      </c>
      <c r="L19" s="186">
        <f>HYPERLINK(IF($L$1="เปิด", "#'รวมพิเศษ'!" &amp; ADDRESS(ROW(รวมพิเศษ!F16), COLUMN(รวมพิเศษ!F16), 4), ""), รวมพิเศษ!F16)</f>
        <v>0</v>
      </c>
      <c r="M19" s="187"/>
      <c r="N19" s="271">
        <f t="shared" si="0"/>
        <v>3.25</v>
      </c>
      <c r="O19" s="12">
        <f t="shared" si="1"/>
        <v>2.42</v>
      </c>
      <c r="P19" s="12">
        <f t="shared" si="2"/>
        <v>0</v>
      </c>
      <c r="Q19" s="186">
        <f t="shared" si="3"/>
        <v>2.83</v>
      </c>
      <c r="R19" s="273">
        <f t="shared" si="4"/>
        <v>0</v>
      </c>
    </row>
    <row r="20" spans="1:18" ht="21" x14ac:dyDescent="0.35">
      <c r="A20" s="9" t="s">
        <v>25</v>
      </c>
      <c r="B20" s="120"/>
      <c r="C20" s="8" t="s">
        <v>8</v>
      </c>
      <c r="D20" s="182">
        <f>HYPERLINK(IF($L$1="เปิด", "#'รวมปกติ'!" &amp; ADDRESS(ROW(รวมปกติ!C19), COLUMN(รวมปกติ!C19), 4), ""), รวมปกติ!C19)</f>
        <v>2946.56</v>
      </c>
      <c r="E20" s="13">
        <f>HYPERLINK(IF($L$1="เปิด", "#'รวมปกติ'!" &amp; ADDRESS(ROW(รวมปกติ!D19), COLUMN(รวมปกติ!D19), 4), ""), รวมปกติ!D19)</f>
        <v>2989.06</v>
      </c>
      <c r="F20" s="13">
        <f>HYPERLINK(IF($L$1="เปิด", "#'รวมปกติ'!" &amp; ADDRESS(ROW(รวมปกติ!E19), COLUMN(รวมปกติ!E19), 4), ""), รวมปกติ!E19)</f>
        <v>18.170000000000002</v>
      </c>
      <c r="G20" s="188">
        <f>HYPERLINK(IF($L$1="เปิด", "#'รวมปกติ'!" &amp; ADDRESS(ROW(รวมปกติ!F19), COLUMN(รวมปกติ!F19), 4), ""), รวมปกติ!F19)</f>
        <v>2976.89</v>
      </c>
      <c r="H20" s="189">
        <f>HYPERLINK(IF($L$1="เปิด", "#'รวมปกติ'!" &amp; ADDRESS(ROW(รวมปกติ!G19), COLUMN(รวมปกติ!G19), 4), ""), รวมปกติ!G19)</f>
        <v>2989.2739999999999</v>
      </c>
      <c r="I20" s="13">
        <f>HYPERLINK(IF($L$1="เปิด", "#'รวมพิเศษ'!" &amp; ADDRESS(ROW(รวมพิเศษ!C17), COLUMN(รวมพิเศษ!C17), 4), ""), รวมพิเศษ!C17)</f>
        <v>252.77</v>
      </c>
      <c r="J20" s="13">
        <f>HYPERLINK(IF($L$1="เปิด", "#'รวมพิเศษ'!" &amp; ADDRESS(ROW(รวมพิเศษ!D17), COLUMN(รวมพิเศษ!D17), 4), ""), รวมพิเศษ!D17)</f>
        <v>393.44</v>
      </c>
      <c r="K20" s="13">
        <f>HYPERLINK(IF($L$1="เปิด", "#'รวมพิเศษ'!" &amp; ADDRESS(ROW(รวมพิเศษ!E17), COLUMN(รวมพิเศษ!E17), 4), ""), รวมพิเศษ!E17)</f>
        <v>86.5</v>
      </c>
      <c r="L20" s="188">
        <f>HYPERLINK(IF($L$1="เปิด", "#'รวมพิเศษ'!" &amp; ADDRESS(ROW(รวมพิเศษ!F17), COLUMN(รวมพิเศษ!F17), 4), ""), รวมพิเศษ!F17)</f>
        <v>366.36</v>
      </c>
      <c r="M20" s="189">
        <f>HYPERLINK(IF($L$1="เปิด", "#'รวมพิเศษ'!" &amp; ADDRESS(ROW(รวมพิเศษ!G17), COLUMN(รวมพิเศษ!G17), 4), ""), รวมพิเศษ!G17)</f>
        <v>391.11</v>
      </c>
      <c r="N20" s="181">
        <f t="shared" si="0"/>
        <v>3199.33</v>
      </c>
      <c r="O20" s="11">
        <f t="shared" si="1"/>
        <v>3382.5</v>
      </c>
      <c r="P20" s="11">
        <f t="shared" si="2"/>
        <v>104.67</v>
      </c>
      <c r="Q20" s="184">
        <f t="shared" si="3"/>
        <v>3343.25</v>
      </c>
      <c r="R20" s="274">
        <f t="shared" si="4"/>
        <v>3380.384</v>
      </c>
    </row>
    <row r="21" spans="1:18" ht="21" x14ac:dyDescent="0.35">
      <c r="A21" s="125" t="str">
        <f>HYPERLINK(IF($L$1="เปิด", "#'รวมปกติ'!A19", "#C21"), IF($L$1="เปิด", "ไปรวมปกติ (A19)", ""))</f>
        <v/>
      </c>
      <c r="B21" s="126" t="str">
        <f>HYPERLINK(IF($L$1="เปิด", "#'รวมพิเศษ'!A19", "#D21"), IF($L$1="เปิด", "ไปรวมพิเศษ (A19)", ""))</f>
        <v/>
      </c>
      <c r="C21" s="7" t="s">
        <v>97</v>
      </c>
      <c r="D21" s="180">
        <f>HYPERLINK(IF($L$1="เปิด", "#'รวมปกติ'!" &amp; ADDRESS(ROW(รวมปกติ!C20), COLUMN(รวมปกติ!C20), 4), ""), รวมปกติ!C20)</f>
        <v>10.35</v>
      </c>
      <c r="E21" s="12">
        <f>HYPERLINK(IF($L$1="เปิด", "#'รวมปกติ'!" &amp; ADDRESS(ROW(รวมปกติ!D20), COLUMN(รวมปกติ!D20), 4), ""), รวมปกติ!D20)</f>
        <v>14.4</v>
      </c>
      <c r="F21" s="12">
        <f>HYPERLINK(IF($L$1="เปิด", "#'รวมปกติ'!" &amp; ADDRESS(ROW(รวมปกติ!E20), COLUMN(รวมปกติ!E20), 4), ""), รวมปกติ!E20)</f>
        <v>0</v>
      </c>
      <c r="G21" s="186">
        <f>HYPERLINK(IF($L$1="เปิด", "#'รวมปกติ'!" &amp; ADDRESS(ROW(รวมปกติ!F20), COLUMN(รวมปกติ!F20), 4), ""), รวมปกติ!F20)</f>
        <v>12.384</v>
      </c>
      <c r="H21" s="187"/>
      <c r="I21" s="12">
        <f>HYPERLINK(IF($L$1="เปิด", "#'รวมพิเศษ'!" &amp; ADDRESS(ROW(รวมพิเศษ!C18), COLUMN(รวมพิเศษ!C18), 4), ""), รวมพิเศษ!C18)</f>
        <v>21.150000000000002</v>
      </c>
      <c r="J21" s="12">
        <f>HYPERLINK(IF($L$1="เปิด", "#'รวมพิเศษ'!" &amp; ADDRESS(ROW(รวมพิเศษ!D18), COLUMN(รวมพิเศษ!D18), 4), ""), รวมพิเศษ!D18)</f>
        <v>28.35</v>
      </c>
      <c r="K21" s="12">
        <f>HYPERLINK(IF($L$1="เปิด", "#'รวมพิเศษ'!" &amp; ADDRESS(ROW(รวมพิเศษ!E18), COLUMN(รวมพิเศษ!E18), 4), ""), รวมพิเศษ!E18)</f>
        <v>0</v>
      </c>
      <c r="L21" s="186">
        <f>HYPERLINK(IF($L$1="เปิด", "#'รวมพิเศษ'!" &amp; ADDRESS(ROW(รวมพิเศษ!F18), COLUMN(รวมพิเศษ!F18), 4), ""), รวมพิเศษ!F18)</f>
        <v>24.75</v>
      </c>
      <c r="M21" s="187"/>
      <c r="N21" s="271">
        <f t="shared" si="0"/>
        <v>31.5</v>
      </c>
      <c r="O21" s="12">
        <f t="shared" si="1"/>
        <v>42.75</v>
      </c>
      <c r="P21" s="12">
        <f t="shared" si="2"/>
        <v>0</v>
      </c>
      <c r="Q21" s="186">
        <f t="shared" si="3"/>
        <v>37.134</v>
      </c>
      <c r="R21" s="273">
        <f t="shared" si="4"/>
        <v>0</v>
      </c>
    </row>
    <row r="22" spans="1:18" ht="21" x14ac:dyDescent="0.35">
      <c r="A22" s="9" t="s">
        <v>37</v>
      </c>
      <c r="B22" s="120"/>
      <c r="C22" s="8" t="s">
        <v>8</v>
      </c>
      <c r="D22" s="182">
        <f>HYPERLINK(IF($L$1="เปิด", "#'รวมปกติ'!" &amp; ADDRESS(ROW(รวมปกติ!C21), COLUMN(รวมปกติ!C21), 4), ""), รวมปกติ!C21)</f>
        <v>1403.62</v>
      </c>
      <c r="E22" s="13">
        <f>HYPERLINK(IF($L$1="เปิด", "#'รวมปกติ'!" &amp; ADDRESS(ROW(รวมปกติ!D21), COLUMN(รวมปกติ!D21), 4), ""), รวมปกติ!D21)</f>
        <v>944.33</v>
      </c>
      <c r="F22" s="13">
        <f>HYPERLINK(IF($L$1="เปิด", "#'รวมปกติ'!" &amp; ADDRESS(ROW(รวมปกติ!E21), COLUMN(รวมปกติ!E21), 4), ""), รวมปกติ!E21)</f>
        <v>0</v>
      </c>
      <c r="G22" s="188">
        <f>HYPERLINK(IF($L$1="เปิด", "#'รวมปกติ'!" &amp; ADDRESS(ROW(รวมปกติ!F21), COLUMN(รวมปกติ!F21), 4), ""), รวมปกติ!F21)</f>
        <v>1173.98</v>
      </c>
      <c r="H22" s="189">
        <f>HYPERLINK(IF($L$1="เปิด", "#'รวมปกติ'!" &amp; ADDRESS(ROW(รวมปกติ!G21), COLUMN(รวมปกติ!G21), 4), ""), รวมปกติ!G21)</f>
        <v>1215.614</v>
      </c>
      <c r="I22" s="13">
        <f>HYPERLINK(IF($L$1="เปิด", "#'รวมพิเศษ'!" &amp; ADDRESS(ROW(รวมพิเศษ!C19), COLUMN(รวมพิเศษ!C19), 4), ""), รวมพิเศษ!C19)</f>
        <v>518.94000000000005</v>
      </c>
      <c r="J22" s="13">
        <f>HYPERLINK(IF($L$1="เปิด", "#'รวมพิเศษ'!" &amp; ADDRESS(ROW(รวมพิเศษ!D19), COLUMN(รวมพิเศษ!D19), 4), ""), รวมพิเศษ!D19)</f>
        <v>613.22</v>
      </c>
      <c r="K22" s="13">
        <f>HYPERLINK(IF($L$1="เปิด", "#'รวมพิเศษ'!" &amp; ADDRESS(ROW(รวมพิเศษ!E19), COLUMN(รวมพิเศษ!E19), 4), ""), รวมพิเศษ!E19)</f>
        <v>201.17</v>
      </c>
      <c r="L22" s="188">
        <f>HYPERLINK(IF($L$1="เปิด", "#'รวมพิเศษ'!" &amp; ADDRESS(ROW(รวมพิเศษ!F19), COLUMN(รวมพิเศษ!F19), 4), ""), รวมพิเศษ!F19)</f>
        <v>666.67</v>
      </c>
      <c r="M22" s="189">
        <f>HYPERLINK(IF($L$1="เปิด", "#'รวมพิเศษ'!" &amp; ADDRESS(ROW(รวมพิเศษ!G19), COLUMN(รวมพิเศษ!G19), 4), ""), รวมพิเศษ!G19)</f>
        <v>861.66399999999999</v>
      </c>
      <c r="N22" s="181">
        <f t="shared" si="0"/>
        <v>1922.56</v>
      </c>
      <c r="O22" s="11">
        <f t="shared" si="1"/>
        <v>1557.5500000000002</v>
      </c>
      <c r="P22" s="11">
        <f t="shared" si="2"/>
        <v>201.17</v>
      </c>
      <c r="Q22" s="184">
        <f t="shared" si="3"/>
        <v>1840.65</v>
      </c>
      <c r="R22" s="274">
        <f t="shared" si="4"/>
        <v>2077.2780000000002</v>
      </c>
    </row>
    <row r="23" spans="1:18" ht="21" x14ac:dyDescent="0.35">
      <c r="A23" s="125" t="str">
        <f>HYPERLINK(IF($L$1="เปิด", "#'รวมปกติ'!A21", "#C23"), IF($L$1="เปิด", "ไปรวมปกติ (A21)", ""))</f>
        <v/>
      </c>
      <c r="B23" s="126" t="str">
        <f>HYPERLINK(IF($L$1="เปิด", "#'รวมพิเศษ'!A21", "#D23"), IF($L$1="เปิด", "ไปรวมพิเศษ (A21)", ""))</f>
        <v/>
      </c>
      <c r="C23" s="7" t="s">
        <v>97</v>
      </c>
      <c r="D23" s="180">
        <f>HYPERLINK(IF($L$1="เปิด", "#'รวมปกติ'!" &amp; ADDRESS(ROW(รวมปกติ!C22), COLUMN(รวมปกติ!C22), 4), ""), รวมปกติ!C22)</f>
        <v>45.45</v>
      </c>
      <c r="E23" s="12">
        <f>HYPERLINK(IF($L$1="เปิด", "#'รวมปกติ'!" &amp; ADDRESS(ROW(รวมปกติ!D22), COLUMN(รวมปกติ!D22), 4), ""), รวมปกติ!D22)</f>
        <v>37.800000000000004</v>
      </c>
      <c r="F23" s="12">
        <f>HYPERLINK(IF($L$1="เปิด", "#'รวมปกติ'!" &amp; ADDRESS(ROW(รวมปกติ!E22), COLUMN(รวมปกติ!E22), 4), ""), รวมปกติ!E22)</f>
        <v>0</v>
      </c>
      <c r="G23" s="186">
        <f>HYPERLINK(IF($L$1="เปิด", "#'รวมปกติ'!" &amp; ADDRESS(ROW(รวมปกติ!F22), COLUMN(รวมปกติ!F22), 4), ""), รวมปกติ!F22)</f>
        <v>41.634</v>
      </c>
      <c r="H23" s="187"/>
      <c r="I23" s="12">
        <f>HYPERLINK(IF($L$1="เปิด", "#'รวมพิเศษ'!" &amp; ADDRESS(ROW(รวมพิเศษ!C20), COLUMN(รวมพิเศษ!C20), 4), ""), รวมพิเศษ!C20)</f>
        <v>198.30600000000001</v>
      </c>
      <c r="J23" s="12">
        <f>HYPERLINK(IF($L$1="เปิด", "#'รวมพิเศษ'!" &amp; ADDRESS(ROW(รวมพิเศษ!D20), COLUMN(รวมพิเศษ!D20), 4), ""), รวมพิเศษ!D20)</f>
        <v>159.30000000000001</v>
      </c>
      <c r="K23" s="12">
        <f>HYPERLINK(IF($L$1="เปิด", "#'รวมพิเศษ'!" &amp; ADDRESS(ROW(รวมพิเศษ!E20), COLUMN(รวมพิเศษ!E20), 4), ""), รวมพิเศษ!E20)</f>
        <v>32.4</v>
      </c>
      <c r="L23" s="186">
        <f>HYPERLINK(IF($L$1="เปิด", "#'รวมพิเศษ'!" &amp; ADDRESS(ROW(รวมพิเศษ!F20), COLUMN(รวมพิเศษ!F20), 4), ""), รวมพิเศษ!F20)</f>
        <v>194.994</v>
      </c>
      <c r="M23" s="187"/>
      <c r="N23" s="271">
        <f t="shared" si="0"/>
        <v>243.75600000000003</v>
      </c>
      <c r="O23" s="12">
        <f t="shared" si="1"/>
        <v>197.10000000000002</v>
      </c>
      <c r="P23" s="12">
        <f t="shared" si="2"/>
        <v>32.4</v>
      </c>
      <c r="Q23" s="186">
        <f t="shared" si="3"/>
        <v>236.62799999999999</v>
      </c>
      <c r="R23" s="273">
        <f t="shared" si="4"/>
        <v>0</v>
      </c>
    </row>
    <row r="24" spans="1:18" ht="21" x14ac:dyDescent="0.35">
      <c r="A24" s="9" t="s">
        <v>41</v>
      </c>
      <c r="B24" s="120"/>
      <c r="C24" s="8" t="s">
        <v>8</v>
      </c>
      <c r="D24" s="182">
        <f>HYPERLINK(IF($L$1="เปิด", "#'รวมปกติ'!" &amp; ADDRESS(ROW(รวมปกติ!C23), COLUMN(รวมปกติ!C23), 4), ""), รวมปกติ!C23)</f>
        <v>1162.06</v>
      </c>
      <c r="E24" s="13">
        <f>HYPERLINK(IF($L$1="เปิด", "#'รวมปกติ'!" &amp; ADDRESS(ROW(รวมปกติ!D23), COLUMN(รวมปกติ!D23), 4), ""), รวมปกติ!D23)</f>
        <v>994.94</v>
      </c>
      <c r="F24" s="13">
        <f>HYPERLINK(IF($L$1="เปิด", "#'รวมปกติ'!" &amp; ADDRESS(ROW(รวมปกติ!E23), COLUMN(รวมปกติ!E23), 4), ""), รวมปกติ!E23)</f>
        <v>39.78</v>
      </c>
      <c r="G24" s="188">
        <f>HYPERLINK(IF($L$1="เปิด", "#'รวมปกติ'!" &amp; ADDRESS(ROW(รวมปกติ!F23), COLUMN(รวมปกติ!F23), 4), ""), รวมปกติ!F23)</f>
        <v>1098.3900000000001</v>
      </c>
      <c r="H24" s="189">
        <f>HYPERLINK(IF($L$1="เปิด", "#'รวมปกติ'!" &amp; ADDRESS(ROW(รวมปกติ!G23), COLUMN(รวมปกติ!G23), 4), ""), รวมปกติ!G23)</f>
        <v>1111.23</v>
      </c>
      <c r="I24" s="13">
        <f>HYPERLINK(IF($L$1="เปิด", "#'รวมพิเศษ'!" &amp; ADDRESS(ROW(รวมพิเศษ!C21), COLUMN(รวมพิเศษ!C21), 4), ""), รวมพิเศษ!C21)</f>
        <v>124.39</v>
      </c>
      <c r="J24" s="13">
        <f>HYPERLINK(IF($L$1="เปิด", "#'รวมพิเศษ'!" &amp; ADDRESS(ROW(รวมพิเศษ!D21), COLUMN(รวมพิเศษ!D21), 4), ""), รวมพิเศษ!D21)</f>
        <v>79.11</v>
      </c>
      <c r="K24" s="13">
        <f>HYPERLINK(IF($L$1="เปิด", "#'รวมพิเศษ'!" &amp; ADDRESS(ROW(รวมพิเศษ!E21), COLUMN(รวมพิเศษ!E21), 4), ""), รวมพิเศษ!E21)</f>
        <v>48.33</v>
      </c>
      <c r="L24" s="188">
        <f>HYPERLINK(IF($L$1="เปิด", "#'รวมพิเศษ'!" &amp; ADDRESS(ROW(รวมพิเศษ!F21), COLUMN(รวมพิเศษ!F21), 4), ""), รวมพิเศษ!F21)</f>
        <v>125.92</v>
      </c>
      <c r="M24" s="189">
        <f>HYPERLINK(IF($L$1="เปิด", "#'รวมพิเศษ'!" &amp; ADDRESS(ROW(รวมพิเศษ!G21), COLUMN(รวมพิเศษ!G21), 4), ""), รวมพิเศษ!G21)</f>
        <v>203.68</v>
      </c>
      <c r="N24" s="181">
        <f t="shared" si="0"/>
        <v>1286.45</v>
      </c>
      <c r="O24" s="11">
        <f t="shared" si="1"/>
        <v>1074.05</v>
      </c>
      <c r="P24" s="11">
        <f t="shared" si="2"/>
        <v>88.11</v>
      </c>
      <c r="Q24" s="184">
        <f t="shared" si="3"/>
        <v>1224.3100000000002</v>
      </c>
      <c r="R24" s="274">
        <f t="shared" si="4"/>
        <v>1314.91</v>
      </c>
    </row>
    <row r="25" spans="1:18" ht="21" x14ac:dyDescent="0.35">
      <c r="A25" s="125" t="str">
        <f>HYPERLINK(IF($L$1="เปิด", "#'รวมปกติ'!A23", "#C25"), IF($L$1="เปิด", "ไปรวมปกติ (A23)", ""))</f>
        <v/>
      </c>
      <c r="B25" s="126" t="str">
        <f>HYPERLINK(IF($L$1="เปิด", "#'รวมพิเศษ'!A23", "#D25"), IF($L$1="เปิด", "ไปรวมพิเศษ (A23)", ""))</f>
        <v/>
      </c>
      <c r="C25" s="7" t="s">
        <v>97</v>
      </c>
      <c r="D25" s="180">
        <f>HYPERLINK(IF($L$1="เปิด", "#'รวมปกติ'!" &amp; ADDRESS(ROW(รวมปกติ!C24), COLUMN(รวมปกติ!C24), 4), ""), รวมปกติ!C24)</f>
        <v>14</v>
      </c>
      <c r="E25" s="12">
        <f>HYPERLINK(IF($L$1="เปิด", "#'รวมปกติ'!" &amp; ADDRESS(ROW(รวมปกติ!D24), COLUMN(รวมปกติ!D24), 4), ""), รวมปกติ!D24)</f>
        <v>11.16</v>
      </c>
      <c r="F25" s="12">
        <f>HYPERLINK(IF($L$1="เปิด", "#'รวมปกติ'!" &amp; ADDRESS(ROW(รวมปกติ!E24), COLUMN(รวมปกติ!E24), 4), ""), รวมปกติ!E24)</f>
        <v>0.5</v>
      </c>
      <c r="G25" s="186">
        <f>HYPERLINK(IF($L$1="เปิด", "#'รวมปกติ'!" &amp; ADDRESS(ROW(รวมปกติ!F24), COLUMN(รวมปกติ!F24), 4), ""), รวมปกติ!F24)</f>
        <v>12.84</v>
      </c>
      <c r="H25" s="187"/>
      <c r="I25" s="12">
        <f>HYPERLINK(IF($L$1="เปิด", "#'รวมพิเศษ'!" &amp; ADDRESS(ROW(รวมพิเศษ!C22), COLUMN(รวมพิเศษ!C22), 4), ""), รวมพิเศษ!C22)</f>
        <v>80</v>
      </c>
      <c r="J25" s="12">
        <f>HYPERLINK(IF($L$1="เปิด", "#'รวมพิเศษ'!" &amp; ADDRESS(ROW(รวมพิเศษ!D22), COLUMN(รวมพิเศษ!D22), 4), ""), รวมพิเศษ!D22)</f>
        <v>60</v>
      </c>
      <c r="K25" s="12">
        <f>HYPERLINK(IF($L$1="เปิด", "#'รวมพิเศษ'!" &amp; ADDRESS(ROW(รวมพิเศษ!E22), COLUMN(รวมพิเศษ!E22), 4), ""), รวมพิเศษ!E22)</f>
        <v>15.5</v>
      </c>
      <c r="L25" s="186">
        <f>HYPERLINK(IF($L$1="เปิด", "#'รวมพิเศษ'!" &amp; ADDRESS(ROW(รวมพิเศษ!F22), COLUMN(รวมพิเศษ!F22), 4), ""), รวมพิเศษ!F22)</f>
        <v>77.760000000000005</v>
      </c>
      <c r="M25" s="187"/>
      <c r="N25" s="271">
        <f t="shared" si="0"/>
        <v>94</v>
      </c>
      <c r="O25" s="12">
        <f t="shared" si="1"/>
        <v>71.16</v>
      </c>
      <c r="P25" s="12">
        <f t="shared" si="2"/>
        <v>16</v>
      </c>
      <c r="Q25" s="186">
        <f t="shared" si="3"/>
        <v>90.600000000000009</v>
      </c>
      <c r="R25" s="273">
        <f t="shared" si="4"/>
        <v>0</v>
      </c>
    </row>
    <row r="26" spans="1:18" ht="21" x14ac:dyDescent="0.35">
      <c r="A26" s="9" t="s">
        <v>42</v>
      </c>
      <c r="B26" s="120"/>
      <c r="C26" s="8" t="s">
        <v>8</v>
      </c>
      <c r="D26" s="182">
        <f>HYPERLINK(IF($L$1="เปิด", "#'รวมปกติ'!" &amp; ADDRESS(ROW(รวมปกติ!C25), COLUMN(รวมปกติ!C25), 4), ""), รวมปกติ!C25)</f>
        <v>999.94</v>
      </c>
      <c r="E26" s="13">
        <f>HYPERLINK(IF($L$1="เปิด", "#'รวมปกติ'!" &amp; ADDRESS(ROW(รวมปกติ!D25), COLUMN(รวมปกติ!D25), 4), ""), รวมปกติ!D25)</f>
        <v>1039.17</v>
      </c>
      <c r="F26" s="13">
        <f>HYPERLINK(IF($L$1="เปิด", "#'รวมปกติ'!" &amp; ADDRESS(ROW(รวมปกติ!E25), COLUMN(รวมปกติ!E25), 4), ""), รวมปกติ!E25)</f>
        <v>13.33</v>
      </c>
      <c r="G26" s="188">
        <f>HYPERLINK(IF($L$1="เปิด", "#'รวมปกติ'!" &amp; ADDRESS(ROW(รวมปกติ!F25), COLUMN(รวมปกติ!F25), 4), ""), รวมปกติ!F25)</f>
        <v>1026.22</v>
      </c>
      <c r="H26" s="189">
        <f>HYPERLINK(IF($L$1="เปิด", "#'รวมปกติ'!" &amp; ADDRESS(ROW(รวมปกติ!G25), COLUMN(รวมปกติ!G25), 4), ""), รวมปกติ!G25)</f>
        <v>1059.82</v>
      </c>
      <c r="I26" s="13">
        <f>HYPERLINK(IF($L$1="เปิด", "#'รวมพิเศษ'!" &amp; ADDRESS(ROW(รวมพิเศษ!C23), COLUMN(รวมพิเศษ!C23), 4), ""), รวมพิเศษ!C23)</f>
        <v>0</v>
      </c>
      <c r="J26" s="13">
        <f>HYPERLINK(IF($L$1="เปิด", "#'รวมพิเศษ'!" &amp; ADDRESS(ROW(รวมพิเศษ!D23), COLUMN(รวมพิเศษ!D23), 4), ""), รวมพิเศษ!D23)</f>
        <v>67.11</v>
      </c>
      <c r="K26" s="13">
        <f>HYPERLINK(IF($L$1="เปิด", "#'รวมพิเศษ'!" &amp; ADDRESS(ROW(รวมพิเศษ!E23), COLUMN(รวมพิเศษ!E23), 4), ""), รวมพิเศษ!E23)</f>
        <v>0</v>
      </c>
      <c r="L26" s="188">
        <f>HYPERLINK(IF($L$1="เปิด", "#'รวมพิเศษ'!" &amp; ADDRESS(ROW(รวมพิเศษ!F23), COLUMN(รวมพิเศษ!F23), 4), ""), รวมพิเศษ!F23)</f>
        <v>33.56</v>
      </c>
      <c r="M26" s="189">
        <f>HYPERLINK(IF($L$1="เปิด", "#'รวมพิเศษ'!" &amp; ADDRESS(ROW(รวมพิเศษ!G23), COLUMN(รวมพิเศษ!G23), 4), ""), รวมพิเศษ!G23)</f>
        <v>33.56</v>
      </c>
      <c r="N26" s="181">
        <f t="shared" si="0"/>
        <v>999.94</v>
      </c>
      <c r="O26" s="11">
        <f t="shared" si="1"/>
        <v>1106.28</v>
      </c>
      <c r="P26" s="11">
        <f t="shared" si="2"/>
        <v>13.33</v>
      </c>
      <c r="Q26" s="184">
        <f t="shared" si="3"/>
        <v>1059.78</v>
      </c>
      <c r="R26" s="274">
        <f t="shared" si="4"/>
        <v>1093.3799999999999</v>
      </c>
    </row>
    <row r="27" spans="1:18" ht="21" x14ac:dyDescent="0.35">
      <c r="A27" s="125" t="str">
        <f>HYPERLINK(IF($L$1="เปิด", "#'รวมปกติ'!A25", "#C27"), IF($L$1="เปิด", "ไปรวมปกติ (A25)", ""))</f>
        <v/>
      </c>
      <c r="B27" s="126" t="str">
        <f>HYPERLINK(IF($L$1="เปิด", "#'รวมพิเศษ'!A25", "#D27"), IF($L$1="เปิด", "ไปรวมพิเศษ (A25)", ""))</f>
        <v/>
      </c>
      <c r="C27" s="7" t="s">
        <v>97</v>
      </c>
      <c r="D27" s="180">
        <f>HYPERLINK(IF($L$1="เปิด", "#'รวมปกติ'!" &amp; ADDRESS(ROW(รวมปกติ!C26), COLUMN(รวมปกติ!C26), 4), ""), รวมปกติ!C26)</f>
        <v>30</v>
      </c>
      <c r="E27" s="12">
        <f>HYPERLINK(IF($L$1="เปิด", "#'รวมปกติ'!" &amp; ADDRESS(ROW(รวมปกติ!D26), COLUMN(รวมปกติ!D26), 4), ""), รวมปกติ!D26)</f>
        <v>37.159999999999997</v>
      </c>
      <c r="F27" s="12">
        <f>HYPERLINK(IF($L$1="เปิด", "#'รวมปกติ'!" &amp; ADDRESS(ROW(รวมปกติ!E26), COLUMN(รวมปกติ!E26), 4), ""), รวมปกติ!E26)</f>
        <v>0</v>
      </c>
      <c r="G27" s="186">
        <f>HYPERLINK(IF($L$1="เปิด", "#'รวมปกติ'!" &amp; ADDRESS(ROW(รวมปกติ!F26), COLUMN(รวมปกติ!F26), 4), ""), รวมปกติ!F26)</f>
        <v>33.6</v>
      </c>
      <c r="H27" s="187"/>
      <c r="I27" s="12">
        <f>HYPERLINK(IF($L$1="เปิด", "#'รวมพิเศษ'!" &amp; ADDRESS(ROW(รวมพิเศษ!C24), COLUMN(รวมพิเศษ!C24), 4), ""), รวมพิเศษ!C24)</f>
        <v>0</v>
      </c>
      <c r="J27" s="12">
        <f>HYPERLINK(IF($L$1="เปิด", "#'รวมพิเศษ'!" &amp; ADDRESS(ROW(รวมพิเศษ!D24), COLUMN(รวมพิเศษ!D24), 4), ""), รวมพิเศษ!D24)</f>
        <v>0</v>
      </c>
      <c r="K27" s="12">
        <f>HYPERLINK(IF($L$1="เปิด", "#'รวมพิเศษ'!" &amp; ADDRESS(ROW(รวมพิเศษ!E24), COLUMN(รวมพิเศษ!E24), 4), ""), รวมพิเศษ!E24)</f>
        <v>0</v>
      </c>
      <c r="L27" s="186">
        <f>HYPERLINK(IF($L$1="เปิด", "#'รวมพิเศษ'!" &amp; ADDRESS(ROW(รวมพิเศษ!F24), COLUMN(รวมพิเศษ!F24), 4), ""), รวมพิเศษ!F24)</f>
        <v>0</v>
      </c>
      <c r="M27" s="187"/>
      <c r="N27" s="271">
        <f t="shared" si="0"/>
        <v>30</v>
      </c>
      <c r="O27" s="12">
        <f t="shared" si="1"/>
        <v>37.159999999999997</v>
      </c>
      <c r="P27" s="12">
        <f t="shared" si="2"/>
        <v>0</v>
      </c>
      <c r="Q27" s="186">
        <f t="shared" si="3"/>
        <v>33.6</v>
      </c>
      <c r="R27" s="273">
        <f t="shared" si="4"/>
        <v>0</v>
      </c>
    </row>
    <row r="28" spans="1:18" ht="21" x14ac:dyDescent="0.35">
      <c r="A28" s="9" t="s">
        <v>43</v>
      </c>
      <c r="B28" s="120"/>
      <c r="C28" s="8" t="s">
        <v>8</v>
      </c>
      <c r="D28" s="182">
        <f>HYPERLINK(IF($L$1="เปิด", "#'รวมปกติ'!" &amp; ADDRESS(ROW(รวมปกติ!C27), COLUMN(รวมปกติ!C27), 4), ""), รวมปกติ!C27)</f>
        <v>3108.87</v>
      </c>
      <c r="E28" s="13">
        <f>HYPERLINK(IF($L$1="เปิด", "#'รวมปกติ'!" &amp; ADDRESS(ROW(รวมปกติ!D27), COLUMN(รวมปกติ!D27), 4), ""), รวมปกติ!D27)</f>
        <v>2972.72</v>
      </c>
      <c r="F28" s="13">
        <f>HYPERLINK(IF($L$1="เปิด", "#'รวมปกติ'!" &amp; ADDRESS(ROW(รวมปกติ!E27), COLUMN(รวมปกติ!E27), 4), ""), รวมปกติ!E27)</f>
        <v>28.78</v>
      </c>
      <c r="G28" s="188">
        <f>HYPERLINK(IF($L$1="เปิด", "#'รวมปกติ'!" &amp; ADDRESS(ROW(รวมปกติ!F27), COLUMN(รวมปกติ!F27), 4), ""), รวมปกติ!F27)</f>
        <v>3055.18</v>
      </c>
      <c r="H28" s="189">
        <f>HYPERLINK(IF($L$1="เปิด", "#'รวมปกติ'!" &amp; ADDRESS(ROW(รวมปกติ!G27), COLUMN(รวมปกติ!G27), 4), ""), รวมปกติ!G27)</f>
        <v>3117.2799999999997</v>
      </c>
      <c r="I28" s="13">
        <f>HYPERLINK(IF($L$1="เปิด", "#'รวมพิเศษ'!" &amp; ADDRESS(ROW(รวมพิเศษ!C25), COLUMN(รวมพิเศษ!C25), 4), ""), รวมพิเศษ!C25)</f>
        <v>45.65</v>
      </c>
      <c r="J28" s="13">
        <f>HYPERLINK(IF($L$1="เปิด", "#'รวมพิเศษ'!" &amp; ADDRESS(ROW(รวมพิเศษ!D25), COLUMN(รวมพิเศษ!D25), 4), ""), รวมพิเศษ!D25)</f>
        <v>108.17</v>
      </c>
      <c r="K28" s="13">
        <f>HYPERLINK(IF($L$1="เปิด", "#'รวมพิเศษ'!" &amp; ADDRESS(ROW(รวมพิเศษ!E25), COLUMN(รวมพิเศษ!E25), 4), ""), รวมพิเศษ!E25)</f>
        <v>0</v>
      </c>
      <c r="L28" s="188">
        <f>HYPERLINK(IF($L$1="เปิด", "#'รวมพิเศษ'!" &amp; ADDRESS(ROW(รวมพิเศษ!F25), COLUMN(รวมพิเศษ!F25), 4), ""), รวมพิเศษ!F25)</f>
        <v>76.91</v>
      </c>
      <c r="M28" s="189">
        <f>HYPERLINK(IF($L$1="เปิด", "#'รวมพิเศษ'!" &amp; ADDRESS(ROW(รวมพิเศษ!G25), COLUMN(รวมพิเศษ!G25), 4), ""), รวมพิเศษ!G25)</f>
        <v>83.67</v>
      </c>
      <c r="N28" s="181">
        <f t="shared" si="0"/>
        <v>3154.52</v>
      </c>
      <c r="O28" s="11">
        <f t="shared" si="1"/>
        <v>3080.89</v>
      </c>
      <c r="P28" s="11">
        <f t="shared" si="2"/>
        <v>28.78</v>
      </c>
      <c r="Q28" s="184">
        <f t="shared" si="3"/>
        <v>3132.0899999999997</v>
      </c>
      <c r="R28" s="274">
        <f t="shared" si="4"/>
        <v>3200.95</v>
      </c>
    </row>
    <row r="29" spans="1:18" ht="21" x14ac:dyDescent="0.35">
      <c r="A29" s="125" t="str">
        <f>HYPERLINK(IF($L$1="เปิด", "#'รวมปกติ'!A27", "#C29"), IF($L$1="เปิด", "ไปรวมปกติ (A27)", ""))</f>
        <v/>
      </c>
      <c r="B29" s="126" t="str">
        <f>HYPERLINK(IF($L$1="เปิด", "#'รวมพิเศษ'!A27", "#D29"), IF($L$1="เปิด", "ไปรวมพิเศษ (A27)", ""))</f>
        <v/>
      </c>
      <c r="C29" s="7" t="s">
        <v>97</v>
      </c>
      <c r="D29" s="180">
        <f>HYPERLINK(IF($L$1="เปิด", "#'รวมปกติ'!" &amp; ADDRESS(ROW(รวมปกติ!C28), COLUMN(รวมปกติ!C28), 4), ""), รวมปกติ!C28)</f>
        <v>65.319999999999993</v>
      </c>
      <c r="E29" s="12">
        <f>HYPERLINK(IF($L$1="เปิด", "#'รวมปกติ'!" &amp; ADDRESS(ROW(รวมปกติ!D28), COLUMN(รวมปกติ!D28), 4), ""), รวมปกติ!D28)</f>
        <v>58.84</v>
      </c>
      <c r="F29" s="12">
        <f>HYPERLINK(IF($L$1="เปิด", "#'รวมปกติ'!" &amp; ADDRESS(ROW(รวมปกติ!E28), COLUMN(รวมปกติ!E28), 4), ""), รวมปกติ!E28)</f>
        <v>0</v>
      </c>
      <c r="G29" s="186">
        <f>HYPERLINK(IF($L$1="เปิด", "#'รวมปกติ'!" &amp; ADDRESS(ROW(รวมปกติ!F28), COLUMN(รวมปกติ!F28), 4), ""), รวมปกติ!F28)</f>
        <v>62.099999999999994</v>
      </c>
      <c r="H29" s="187"/>
      <c r="I29" s="12">
        <f>HYPERLINK(IF($L$1="เปิด", "#'รวมพิเศษ'!" &amp; ADDRESS(ROW(รวมพิเศษ!C26), COLUMN(รวมพิเศษ!C26), 4), ""), รวมพิเศษ!C26)</f>
        <v>2</v>
      </c>
      <c r="J29" s="12">
        <f>HYPERLINK(IF($L$1="เปิด", "#'รวมพิเศษ'!" &amp; ADDRESS(ROW(รวมพิเศษ!D26), COLUMN(รวมพิเศษ!D26), 4), ""), รวมพิเศษ!D26)</f>
        <v>1.5</v>
      </c>
      <c r="K29" s="12">
        <f>HYPERLINK(IF($L$1="เปิด", "#'รวมพิเศษ'!" &amp; ADDRESS(ROW(รวมพิเศษ!E26), COLUMN(รวมพิเศษ!E26), 4), ""), รวมพิเศษ!E26)</f>
        <v>10</v>
      </c>
      <c r="L29" s="186">
        <f>HYPERLINK(IF($L$1="เปิด", "#'รวมพิเศษ'!" &amp; ADDRESS(ROW(รวมพิเศษ!F26), COLUMN(รวมพิเศษ!F26), 4), ""), รวมพิเศษ!F26)</f>
        <v>6.76</v>
      </c>
      <c r="M29" s="187"/>
      <c r="N29" s="271">
        <f t="shared" si="0"/>
        <v>67.319999999999993</v>
      </c>
      <c r="O29" s="12">
        <f t="shared" si="1"/>
        <v>60.34</v>
      </c>
      <c r="P29" s="12">
        <f t="shared" si="2"/>
        <v>10</v>
      </c>
      <c r="Q29" s="186">
        <f t="shared" si="3"/>
        <v>68.86</v>
      </c>
      <c r="R29" s="273">
        <f t="shared" si="4"/>
        <v>0</v>
      </c>
    </row>
    <row r="30" spans="1:18" ht="21" x14ac:dyDescent="0.35">
      <c r="A30" s="9" t="s">
        <v>54</v>
      </c>
      <c r="B30" s="120"/>
      <c r="C30" s="8" t="s">
        <v>8</v>
      </c>
      <c r="D30" s="182">
        <f>HYPERLINK(IF($L$1="เปิด", "#'รวมปกติ'!" &amp; ADDRESS(ROW(รวมปกติ!C29), COLUMN(รวมปกติ!C29), 4), ""), รวมปกติ!C29)</f>
        <v>713.36</v>
      </c>
      <c r="E30" s="13">
        <f>HYPERLINK(IF($L$1="เปิด", "#'รวมปกติ'!" &amp; ADDRESS(ROW(รวมปกติ!D29), COLUMN(รวมปกติ!D29), 4), ""), รวมปกติ!D29)</f>
        <v>508.28</v>
      </c>
      <c r="F30" s="13">
        <f>HYPERLINK(IF($L$1="เปิด", "#'รวมปกติ'!" &amp; ADDRESS(ROW(รวมปกติ!E29), COLUMN(รวมปกติ!E29), 4), ""), รวมปกติ!E29)</f>
        <v>0</v>
      </c>
      <c r="G30" s="188">
        <f>HYPERLINK(IF($L$1="เปิด", "#'รวมปกติ'!" &amp; ADDRESS(ROW(รวมปกติ!F29), COLUMN(รวมปกติ!F29), 4), ""), รวมปกติ!F29)</f>
        <v>610.82000000000005</v>
      </c>
      <c r="H30" s="189">
        <f>HYPERLINK(IF($L$1="เปิด", "#'รวมปกติ'!" &amp; ADDRESS(ROW(รวมปกติ!G29), COLUMN(รวมปกติ!G29), 4), ""), รวมปกติ!G29)</f>
        <v>624.28000000000009</v>
      </c>
      <c r="I30" s="13">
        <f>HYPERLINK(IF($L$1="เปิด", "#'รวมพิเศษ'!" &amp; ADDRESS(ROW(รวมพิเศษ!C27), COLUMN(รวมพิเศษ!C27), 4), ""), รวมพิเศษ!C27)</f>
        <v>27.84</v>
      </c>
      <c r="J30" s="13">
        <f>HYPERLINK(IF($L$1="เปิด", "#'รวมพิเศษ'!" &amp; ADDRESS(ROW(รวมพิเศษ!D27), COLUMN(รวมพิเศษ!D27), 4), ""), รวมพิเศษ!D27)</f>
        <v>9.7200000000000006</v>
      </c>
      <c r="K30" s="13">
        <f>HYPERLINK(IF($L$1="เปิด", "#'รวมพิเศษ'!" &amp; ADDRESS(ROW(รวมพิเศษ!E27), COLUMN(รวมพิเศษ!E27), 4), ""), รวมพิเศษ!E27)</f>
        <v>0</v>
      </c>
      <c r="L30" s="188">
        <f>HYPERLINK(IF($L$1="เปิด", "#'รวมพิเศษ'!" &amp; ADDRESS(ROW(รวมพิเศษ!F27), COLUMN(รวมพิเศษ!F27), 4), ""), รวมพิเศษ!F27)</f>
        <v>18.78</v>
      </c>
      <c r="M30" s="189">
        <f>HYPERLINK(IF($L$1="เปิด", "#'รวมพิเศษ'!" &amp; ADDRESS(ROW(รวมพิเศษ!G27), COLUMN(รวมพิเศษ!G27), 4), ""), รวมพิเศษ!G27)</f>
        <v>18.78</v>
      </c>
      <c r="N30" s="181">
        <f t="shared" si="0"/>
        <v>741.2</v>
      </c>
      <c r="O30" s="11">
        <f t="shared" si="1"/>
        <v>518</v>
      </c>
      <c r="P30" s="11">
        <f t="shared" si="2"/>
        <v>0</v>
      </c>
      <c r="Q30" s="184">
        <f t="shared" si="3"/>
        <v>629.6</v>
      </c>
      <c r="R30" s="274">
        <f t="shared" si="4"/>
        <v>643.06000000000006</v>
      </c>
    </row>
    <row r="31" spans="1:18" ht="21" x14ac:dyDescent="0.35">
      <c r="A31" s="125" t="str">
        <f>HYPERLINK(IF($L$1="เปิด", "#'รวมปกติ'!A29", "#C31"), IF($L$1="เปิด", "ไปรวมปกติ (A29)", ""))</f>
        <v/>
      </c>
      <c r="B31" s="126" t="str">
        <f>HYPERLINK(IF($L$1="เปิด", "#'รวมพิเศษ'!A29", "#D31"), IF($L$1="เปิด", "ไปรวมพิเศษ (A29)", ""))</f>
        <v/>
      </c>
      <c r="C31" s="7" t="s">
        <v>97</v>
      </c>
      <c r="D31" s="180">
        <f>HYPERLINK(IF($L$1="เปิด", "#'รวมปกติ'!" &amp; ADDRESS(ROW(รวมปกติ!C30), COLUMN(รวมปกติ!C30), 4), ""), รวมปกติ!C30)</f>
        <v>10.92</v>
      </c>
      <c r="E31" s="12">
        <f>HYPERLINK(IF($L$1="เปิด", "#'รวมปกติ'!" &amp; ADDRESS(ROW(รวมปกติ!D30), COLUMN(รวมปกติ!D30), 4), ""), รวมปกติ!D30)</f>
        <v>16</v>
      </c>
      <c r="F31" s="12">
        <f>HYPERLINK(IF($L$1="เปิด", "#'รวมปกติ'!" &amp; ADDRESS(ROW(รวมปกติ!E30), COLUMN(รวมปกติ!E30), 4), ""), รวมปกติ!E30)</f>
        <v>0</v>
      </c>
      <c r="G31" s="186">
        <f>HYPERLINK(IF($L$1="เปิด", "#'รวมปกติ'!" &amp; ADDRESS(ROW(รวมปกติ!F30), COLUMN(รวมปกติ!F30), 4), ""), รวมปกติ!F30)</f>
        <v>13.46</v>
      </c>
      <c r="H31" s="187"/>
      <c r="I31" s="12">
        <f>HYPERLINK(IF($L$1="เปิด", "#'รวมพิเศษ'!" &amp; ADDRESS(ROW(รวมพิเศษ!C28), COLUMN(รวมพิเศษ!C28), 4), ""), รวมพิเศษ!C28)</f>
        <v>0</v>
      </c>
      <c r="J31" s="12">
        <f>HYPERLINK(IF($L$1="เปิด", "#'รวมพิเศษ'!" &amp; ADDRESS(ROW(รวมพิเศษ!D28), COLUMN(รวมพิเศษ!D28), 4), ""), รวมพิเศษ!D28)</f>
        <v>0</v>
      </c>
      <c r="K31" s="12">
        <f>HYPERLINK(IF($L$1="เปิด", "#'รวมพิเศษ'!" &amp; ADDRESS(ROW(รวมพิเศษ!E28), COLUMN(รวมพิเศษ!E28), 4), ""), รวมพิเศษ!E28)</f>
        <v>0</v>
      </c>
      <c r="L31" s="186">
        <f>HYPERLINK(IF($L$1="เปิด", "#'รวมพิเศษ'!" &amp; ADDRESS(ROW(รวมพิเศษ!F28), COLUMN(รวมพิเศษ!F28), 4), ""), รวมพิเศษ!F28)</f>
        <v>0</v>
      </c>
      <c r="M31" s="187"/>
      <c r="N31" s="271">
        <f t="shared" si="0"/>
        <v>10.92</v>
      </c>
      <c r="O31" s="12">
        <f t="shared" si="1"/>
        <v>16</v>
      </c>
      <c r="P31" s="12">
        <f t="shared" si="2"/>
        <v>0</v>
      </c>
      <c r="Q31" s="186">
        <f t="shared" si="3"/>
        <v>13.46</v>
      </c>
      <c r="R31" s="273">
        <f t="shared" si="4"/>
        <v>0</v>
      </c>
    </row>
    <row r="32" spans="1:18" ht="21" x14ac:dyDescent="0.35">
      <c r="A32" s="9" t="s">
        <v>55</v>
      </c>
      <c r="B32" s="120"/>
      <c r="C32" s="8" t="s">
        <v>8</v>
      </c>
      <c r="D32" s="182">
        <f>HYPERLINK(IF($L$1="เปิด", "#'รวมปกติ'!" &amp; ADDRESS(ROW(รวมปกติ!C31), COLUMN(รวมปกติ!C31), 4), ""), รวมปกติ!C31)</f>
        <v>1623</v>
      </c>
      <c r="E32" s="13">
        <f>HYPERLINK(IF($L$1="เปิด", "#'รวมปกติ'!" &amp; ADDRESS(ROW(รวมปกติ!D31), COLUMN(รวมปกติ!D31), 4), ""), รวมปกติ!D31)</f>
        <v>1706.06</v>
      </c>
      <c r="F32" s="13">
        <f>HYPERLINK(IF($L$1="เปิด", "#'รวมปกติ'!" &amp; ADDRESS(ROW(รวมปกติ!E31), COLUMN(รวมปกติ!E31), 4), ""), รวมปกติ!E31)</f>
        <v>71.89</v>
      </c>
      <c r="G32" s="188">
        <f>HYPERLINK(IF($L$1="เปิด", "#'รวมปกติ'!" &amp; ADDRESS(ROW(รวมปกติ!F31), COLUMN(รวมปกติ!F31), 4), ""), รวมปกติ!F31)</f>
        <v>1700.47</v>
      </c>
      <c r="H32" s="189">
        <f>HYPERLINK(IF($L$1="เปิด", "#'รวมปกติ'!" &amp; ADDRESS(ROW(รวมปกติ!G31), COLUMN(รวมปกติ!G31), 4), ""), รวมปกติ!G31)</f>
        <v>1753.47</v>
      </c>
      <c r="I32" s="13">
        <f>HYPERLINK(IF($L$1="เปิด", "#'รวมพิเศษ'!" &amp; ADDRESS(ROW(รวมพิเศษ!C29), COLUMN(รวมพิเศษ!C29), 4), ""), รวมพิเศษ!C29)</f>
        <v>8.4600000000000009</v>
      </c>
      <c r="J32" s="13">
        <f>HYPERLINK(IF($L$1="เปิด", "#'รวมพิเศษ'!" &amp; ADDRESS(ROW(รวมพิเศษ!D29), COLUMN(รวมพิเศษ!D29), 4), ""), รวมพิเศษ!D29)</f>
        <v>28.61</v>
      </c>
      <c r="K32" s="13">
        <f>HYPERLINK(IF($L$1="เปิด", "#'รวมพิเศษ'!" &amp; ADDRESS(ROW(รวมพิเศษ!E29), COLUMN(รวมพิเศษ!E29), 4), ""), รวมพิเศษ!E29)</f>
        <v>0</v>
      </c>
      <c r="L32" s="188">
        <f>HYPERLINK(IF($L$1="เปิด", "#'รวมพิเศษ'!" &amp; ADDRESS(ROW(รวมพิเศษ!F29), COLUMN(รวมพิเศษ!F29), 4), ""), รวมพิเศษ!F29)</f>
        <v>18.53</v>
      </c>
      <c r="M32" s="189">
        <f>HYPERLINK(IF($L$1="เปิด", "#'รวมพิเศษ'!" &amp; ADDRESS(ROW(รวมพิเศษ!G29), COLUMN(รวมพิเศษ!G29), 4), ""), รวมพิเศษ!G29)</f>
        <v>31.79</v>
      </c>
      <c r="N32" s="181">
        <f t="shared" si="0"/>
        <v>1631.46</v>
      </c>
      <c r="O32" s="11">
        <f t="shared" si="1"/>
        <v>1734.6699999999998</v>
      </c>
      <c r="P32" s="11">
        <f t="shared" si="2"/>
        <v>71.89</v>
      </c>
      <c r="Q32" s="184">
        <f t="shared" si="3"/>
        <v>1719</v>
      </c>
      <c r="R32" s="274">
        <f t="shared" si="4"/>
        <v>1785.26</v>
      </c>
    </row>
    <row r="33" spans="1:18" ht="21" x14ac:dyDescent="0.35">
      <c r="A33" s="125" t="str">
        <f>HYPERLINK(IF($L$1="เปิด", "#'รวมปกติ'!A31", "#C33"), IF($L$1="เปิด", "ไปรวมปกติ (A31)", ""))</f>
        <v/>
      </c>
      <c r="B33" s="126" t="str">
        <f>HYPERLINK(IF($L$1="เปิด", "#'รวมพิเศษ'!A31", "#D33"), IF($L$1="เปิด", "ไปรวมพิเศษ (A31)", ""))</f>
        <v/>
      </c>
      <c r="C33" s="7" t="s">
        <v>97</v>
      </c>
      <c r="D33" s="180">
        <f>HYPERLINK(IF($L$1="เปิด", "#'รวมปกติ'!" &amp; ADDRESS(ROW(รวมปกติ!C32), COLUMN(รวมปกติ!C32), 4), ""), รวมปกติ!C32)</f>
        <v>57.819999999999993</v>
      </c>
      <c r="E33" s="12">
        <f>HYPERLINK(IF($L$1="เปิด", "#'รวมปกติ'!" &amp; ADDRESS(ROW(รวมปกติ!D32), COLUMN(รวมปกติ!D32), 4), ""), รวมปกติ!D32)</f>
        <v>48.16</v>
      </c>
      <c r="F33" s="12">
        <f>HYPERLINK(IF($L$1="เปิด", "#'รวมปกติ'!" &amp; ADDRESS(ROW(รวมปกติ!E32), COLUMN(รวมปกติ!E32), 4), ""), รวมปกติ!E32)</f>
        <v>0</v>
      </c>
      <c r="G33" s="186">
        <f>HYPERLINK(IF($L$1="เปิด", "#'รวมปกติ'!" &amp; ADDRESS(ROW(รวมปกติ!F32), COLUMN(รวมปกติ!F32), 4), ""), รวมปกติ!F32)</f>
        <v>53</v>
      </c>
      <c r="H33" s="187"/>
      <c r="I33" s="12">
        <f>HYPERLINK(IF($L$1="เปิด", "#'รวมพิเศษ'!" &amp; ADDRESS(ROW(รวมพิเศษ!C30), COLUMN(รวมพิเศษ!C30), 4), ""), รวมพิเศษ!C30)</f>
        <v>11</v>
      </c>
      <c r="J33" s="12">
        <f>HYPERLINK(IF($L$1="เปิด", "#'รวมพิเศษ'!" &amp; ADDRESS(ROW(รวมพิเศษ!D30), COLUMN(รวมพิเศษ!D30), 4), ""), รวมพิเศษ!D30)</f>
        <v>15.5</v>
      </c>
      <c r="K33" s="12">
        <f>HYPERLINK(IF($L$1="เปิด", "#'รวมพิเศษ'!" &amp; ADDRESS(ROW(รวมพิเศษ!E30), COLUMN(รวมพิเศษ!E30), 4), ""), รวมพิเศษ!E30)</f>
        <v>0</v>
      </c>
      <c r="L33" s="186">
        <f>HYPERLINK(IF($L$1="เปิด", "#'รวมพิเศษ'!" &amp; ADDRESS(ROW(รวมพิเศษ!F30), COLUMN(รวมพิเศษ!F30), 4), ""), รวมพิเศษ!F30)</f>
        <v>13.26</v>
      </c>
      <c r="M33" s="187"/>
      <c r="N33" s="271">
        <f t="shared" si="0"/>
        <v>68.819999999999993</v>
      </c>
      <c r="O33" s="12">
        <f t="shared" si="1"/>
        <v>63.66</v>
      </c>
      <c r="P33" s="12">
        <f t="shared" si="2"/>
        <v>0</v>
      </c>
      <c r="Q33" s="186">
        <f t="shared" si="3"/>
        <v>66.260000000000005</v>
      </c>
      <c r="R33" s="273">
        <f t="shared" si="4"/>
        <v>0</v>
      </c>
    </row>
    <row r="34" spans="1:18" ht="21" x14ac:dyDescent="0.35">
      <c r="A34" s="9" t="s">
        <v>62</v>
      </c>
      <c r="B34" s="120"/>
      <c r="C34" s="8" t="s">
        <v>8</v>
      </c>
      <c r="D34" s="182">
        <f>HYPERLINK(IF($L$1="เปิด", "#'รวมปกติ'!" &amp; ADDRESS(ROW(รวมปกติ!C33), COLUMN(รวมปกติ!C33), 4), ""), รวมปกติ!C33)</f>
        <v>443.73</v>
      </c>
      <c r="E34" s="13">
        <f>HYPERLINK(IF($L$1="เปิด", "#'รวมปกติ'!" &amp; ADDRESS(ROW(รวมปกติ!D33), COLUMN(รวมปกติ!D33), 4), ""), รวมปกติ!D33)</f>
        <v>451.39</v>
      </c>
      <c r="F34" s="13">
        <f>HYPERLINK(IF($L$1="เปิด", "#'รวมปกติ'!" &amp; ADDRESS(ROW(รวมปกติ!E33), COLUMN(รวมปกติ!E33), 4), ""), รวมปกติ!E33)</f>
        <v>0</v>
      </c>
      <c r="G34" s="188">
        <f>HYPERLINK(IF($L$1="เปิด", "#'รวมปกติ'!" &amp; ADDRESS(ROW(รวมปกติ!F33), COLUMN(รวมปกติ!F33), 4), ""), รวมปกติ!F33)</f>
        <v>447.56</v>
      </c>
      <c r="H34" s="189">
        <f>HYPERLINK(IF($L$1="เปิด", "#'รวมปกติ'!" &amp; ADDRESS(ROW(รวมปกติ!G33), COLUMN(รวมปกติ!G33), 4), ""), รวมปกติ!G33)</f>
        <v>550.62800000000004</v>
      </c>
      <c r="I34" s="13">
        <f>HYPERLINK(IF($L$1="เปิด", "#'รวมพิเศษ'!" &amp; ADDRESS(ROW(รวมพิเศษ!C31), COLUMN(รวมพิเศษ!C31), 4), ""), รวมพิเศษ!C31)</f>
        <v>63.96</v>
      </c>
      <c r="J34" s="13">
        <f>HYPERLINK(IF($L$1="เปิด", "#'รวมพิเศษ'!" &amp; ADDRESS(ROW(รวมพิเศษ!D31), COLUMN(รวมพิเศษ!D31), 4), ""), รวมพิเศษ!D31)</f>
        <v>66.94</v>
      </c>
      <c r="K34" s="13">
        <f>HYPERLINK(IF($L$1="เปิด", "#'รวมพิเศษ'!" &amp; ADDRESS(ROW(รวมพิเศษ!E31), COLUMN(รวมพิเศษ!E31), 4), ""), รวมพิเศษ!E31)</f>
        <v>28.67</v>
      </c>
      <c r="L34" s="188">
        <f>HYPERLINK(IF($L$1="เปิด", "#'รวมพิเศษ'!" &amp; ADDRESS(ROW(รวมพิเศษ!F31), COLUMN(รวมพิเศษ!F31), 4), ""), รวมพิเศษ!F31)</f>
        <v>79.790000000000006</v>
      </c>
      <c r="M34" s="189">
        <f>HYPERLINK(IF($L$1="เปิด", "#'รวมพิเศษ'!" &amp; ADDRESS(ROW(รวมพิเศษ!G31), COLUMN(รวมพิเศษ!G31), 4), ""), รวมพิเศษ!G31)</f>
        <v>79.790000000000006</v>
      </c>
      <c r="N34" s="181">
        <f t="shared" si="0"/>
        <v>507.69</v>
      </c>
      <c r="O34" s="11">
        <f t="shared" si="1"/>
        <v>518.32999999999993</v>
      </c>
      <c r="P34" s="11">
        <f t="shared" si="2"/>
        <v>28.67</v>
      </c>
      <c r="Q34" s="184">
        <f t="shared" si="3"/>
        <v>527.35</v>
      </c>
      <c r="R34" s="274">
        <f t="shared" si="4"/>
        <v>630.41800000000001</v>
      </c>
    </row>
    <row r="35" spans="1:18" ht="21" x14ac:dyDescent="0.35">
      <c r="A35" s="125" t="str">
        <f>HYPERLINK(IF($L$1="เปิด", "#'รวมปกติ'!A33", "#C35"), IF($L$1="เปิด", "ไปรวมปกติ (A33)", ""))</f>
        <v/>
      </c>
      <c r="B35" s="126" t="str">
        <f>HYPERLINK(IF($L$1="เปิด", "#'รวมพิเศษ'!A33", "#D35"), IF($L$1="เปิด", "ไปรวมพิเศษ (A33)", ""))</f>
        <v/>
      </c>
      <c r="C35" s="7" t="s">
        <v>97</v>
      </c>
      <c r="D35" s="180">
        <f>HYPERLINK(IF($L$1="เปิด", "#'รวมปกติ'!" &amp; ADDRESS(ROW(รวมปกติ!C34), COLUMN(รวมปกติ!C34), 4), ""), รวมปกติ!C34)</f>
        <v>86.4</v>
      </c>
      <c r="E35" s="12">
        <f>HYPERLINK(IF($L$1="เปิด", "#'รวมปกติ'!" &amp; ADDRESS(ROW(รวมปกติ!D34), COLUMN(รวมปกติ!D34), 4), ""), รวมปกติ!D34)</f>
        <v>119.7</v>
      </c>
      <c r="F35" s="12">
        <f>HYPERLINK(IF($L$1="เปิด", "#'รวมปกติ'!" &amp; ADDRESS(ROW(รวมปกติ!E34), COLUMN(รวมปกติ!E34), 4), ""), รวมปกติ!E34)</f>
        <v>0</v>
      </c>
      <c r="G35" s="186">
        <f>HYPERLINK(IF($L$1="เปิด", "#'รวมปกติ'!" &amp; ADDRESS(ROW(รวมปกติ!F34), COLUMN(รวมปกติ!F34), 4), ""), รวมปกติ!F34)</f>
        <v>103.06800000000001</v>
      </c>
      <c r="H35" s="187"/>
      <c r="I35" s="12">
        <f>HYPERLINK(IF($L$1="เปิด", "#'รวมพิเศษ'!" &amp; ADDRESS(ROW(รวมพิเศษ!C32), COLUMN(รวมพิเศษ!C32), 4), ""), รวมพิเศษ!C32)</f>
        <v>0</v>
      </c>
      <c r="J35" s="12">
        <f>HYPERLINK(IF($L$1="เปิด", "#'รวมพิเศษ'!" &amp; ADDRESS(ROW(รวมพิเศษ!D32), COLUMN(รวมพิเศษ!D32), 4), ""), รวมพิเศษ!D32)</f>
        <v>0</v>
      </c>
      <c r="K35" s="12">
        <f>HYPERLINK(IF($L$1="เปิด", "#'รวมพิเศษ'!" &amp; ADDRESS(ROW(รวมพิเศษ!E32), COLUMN(รวมพิเศษ!E32), 4), ""), รวมพิเศษ!E32)</f>
        <v>0</v>
      </c>
      <c r="L35" s="186">
        <f>HYPERLINK(IF($L$1="เปิด", "#'รวมพิเศษ'!" &amp; ADDRESS(ROW(รวมพิเศษ!F32), COLUMN(รวมพิเศษ!F32), 4), ""), รวมพิเศษ!F32)</f>
        <v>0</v>
      </c>
      <c r="M35" s="187"/>
      <c r="N35" s="271">
        <f t="shared" si="0"/>
        <v>86.4</v>
      </c>
      <c r="O35" s="12">
        <f t="shared" si="1"/>
        <v>119.7</v>
      </c>
      <c r="P35" s="12">
        <f t="shared" si="2"/>
        <v>0</v>
      </c>
      <c r="Q35" s="186">
        <f t="shared" si="3"/>
        <v>103.06800000000001</v>
      </c>
      <c r="R35" s="273">
        <f t="shared" si="4"/>
        <v>0</v>
      </c>
    </row>
    <row r="36" spans="1:18" ht="21" x14ac:dyDescent="0.35">
      <c r="A36" s="9" t="s">
        <v>63</v>
      </c>
      <c r="B36" s="120"/>
      <c r="C36" s="8" t="s">
        <v>8</v>
      </c>
      <c r="D36" s="182">
        <f>HYPERLINK(IF($L$1="เปิด", "#'รวมปกติ'!" &amp; ADDRESS(ROW(รวมปกติ!C35), COLUMN(รวมปกติ!C35), 4), ""), รวมปกติ!C35)</f>
        <v>0</v>
      </c>
      <c r="E36" s="13">
        <f>HYPERLINK(IF($L$1="เปิด", "#'รวมปกติ'!" &amp; ADDRESS(ROW(รวมปกติ!D35), COLUMN(รวมปกติ!D35), 4), ""), รวมปกติ!D35)</f>
        <v>1663.17</v>
      </c>
      <c r="F36" s="13">
        <f>HYPERLINK(IF($L$1="เปิด", "#'รวมปกติ'!" &amp; ADDRESS(ROW(รวมปกติ!E35), COLUMN(รวมปกติ!E35), 4), ""), รวมปกติ!E35)</f>
        <v>1.89</v>
      </c>
      <c r="G36" s="188">
        <f>HYPERLINK(IF($L$1="เปิด", "#'รวมปกติ'!" &amp; ADDRESS(ROW(รวมปกติ!F35), COLUMN(รวมปกติ!F35), 4), ""), รวมปกติ!F35)</f>
        <v>832.53</v>
      </c>
      <c r="H36" s="189">
        <f>HYPERLINK(IF($L$1="เปิด", "#'รวมปกติ'!" &amp; ADDRESS(ROW(รวมปกติ!G35), COLUMN(รวมปกติ!G35), 4), ""), รวมปกติ!G35)</f>
        <v>913.34999999999991</v>
      </c>
      <c r="I36" s="13">
        <f>HYPERLINK(IF($L$1="เปิด", "#'รวมพิเศษ'!" &amp; ADDRESS(ROW(รวมพิเศษ!C33), COLUMN(รวมพิเศษ!C33), 4), ""), รวมพิเศษ!C33)</f>
        <v>0</v>
      </c>
      <c r="J36" s="13">
        <f>HYPERLINK(IF($L$1="เปิด", "#'รวมพิเศษ'!" &amp; ADDRESS(ROW(รวมพิเศษ!D33), COLUMN(รวมพิเศษ!D33), 4), ""), รวมพิเศษ!D33)</f>
        <v>185.17</v>
      </c>
      <c r="K36" s="13">
        <f>HYPERLINK(IF($L$1="เปิด", "#'รวมพิเศษ'!" &amp; ADDRESS(ROW(รวมพิเศษ!E33), COLUMN(รวมพิเศษ!E33), 4), ""), รวมพิเศษ!E33)</f>
        <v>67.39</v>
      </c>
      <c r="L36" s="188">
        <f>HYPERLINK(IF($L$1="เปิด", "#'รวมพิเศษ'!" &amp; ADDRESS(ROW(รวมพิเศษ!F33), COLUMN(รวมพิเศษ!F33), 4), ""), รวมพิเศษ!F33)</f>
        <v>126.28</v>
      </c>
      <c r="M36" s="189">
        <f>HYPERLINK(IF($L$1="เปิด", "#'รวมพิเศษ'!" &amp; ADDRESS(ROW(รวมพิเศษ!G33), COLUMN(รวมพิเศษ!G33), 4), ""), รวมพิเศษ!G33)</f>
        <v>452.47</v>
      </c>
      <c r="N36" s="181">
        <f t="shared" si="0"/>
        <v>0</v>
      </c>
      <c r="O36" s="11">
        <f t="shared" si="1"/>
        <v>1848.3400000000001</v>
      </c>
      <c r="P36" s="11">
        <f t="shared" si="2"/>
        <v>69.28</v>
      </c>
      <c r="Q36" s="184">
        <f t="shared" si="3"/>
        <v>958.81</v>
      </c>
      <c r="R36" s="274">
        <f t="shared" si="4"/>
        <v>1365.82</v>
      </c>
    </row>
    <row r="37" spans="1:18" ht="21" x14ac:dyDescent="0.35">
      <c r="A37" s="125" t="str">
        <f>HYPERLINK(IF($L$1="เปิด", "#'รวมปกติ'!A35", "#C37"), IF($L$1="เปิด", "ไปรวมปกติ (A35)", ""))</f>
        <v/>
      </c>
      <c r="B37" s="126" t="str">
        <f>HYPERLINK(IF($L$1="เปิด", "#'รวมพิเศษ'!A35", "#D37"), IF($L$1="เปิด", "ไปรวมพิเศษ (A35)", ""))</f>
        <v/>
      </c>
      <c r="C37" s="7" t="s">
        <v>97</v>
      </c>
      <c r="D37" s="180">
        <f>HYPERLINK(IF($L$1="เปิด", "#'รวมปกติ'!" &amp; ADDRESS(ROW(รวมปกติ!C36), COLUMN(รวมปกติ!C36), 4), ""), รวมปกติ!C36)</f>
        <v>0</v>
      </c>
      <c r="E37" s="12">
        <f>HYPERLINK(IF($L$1="เปิด", "#'รวมปกติ'!" &amp; ADDRESS(ROW(รวมปกติ!D36), COLUMN(รวมปกติ!D36), 4), ""), รวมปกติ!D36)</f>
        <v>144.375</v>
      </c>
      <c r="F37" s="12">
        <f>HYPERLINK(IF($L$1="เปิด", "#'รวมปกติ'!" &amp; ADDRESS(ROW(รวมปกติ!E36), COLUMN(รวมปกติ!E36), 4), ""), รวมปกติ!E36)</f>
        <v>17.25</v>
      </c>
      <c r="G37" s="186">
        <f>HYPERLINK(IF($L$1="เปิด", "#'รวมปกติ'!" &amp; ADDRESS(ROW(รวมปกติ!F36), COLUMN(รวมปกติ!F36), 4), ""), รวมปกติ!F36)</f>
        <v>80.819999999999993</v>
      </c>
      <c r="H37" s="187"/>
      <c r="I37" s="12">
        <f>HYPERLINK(IF($L$1="เปิด", "#'รวมพิเศษ'!" &amp; ADDRESS(ROW(รวมพิเศษ!C34), COLUMN(รวมพิเศษ!C34), 4), ""), รวมพิเศษ!C34)</f>
        <v>0</v>
      </c>
      <c r="J37" s="12">
        <f>HYPERLINK(IF($L$1="เปิด", "#'รวมพิเศษ'!" &amp; ADDRESS(ROW(รวมพิเศษ!D34), COLUMN(รวมพิเศษ!D34), 4), ""), รวมพิเศษ!D34)</f>
        <v>500.625</v>
      </c>
      <c r="K37" s="12">
        <f>HYPERLINK(IF($L$1="เปิด", "#'รวมพิเศษ'!" &amp; ADDRESS(ROW(รวมพิเศษ!E34), COLUMN(รวมพิเศษ!E34), 4), ""), รวมพิเศษ!E34)</f>
        <v>151.755</v>
      </c>
      <c r="L37" s="186">
        <f>HYPERLINK(IF($L$1="เปิด", "#'รวมพิเศษ'!" &amp; ADDRESS(ROW(รวมพิเศษ!F34), COLUMN(รวมพิเศษ!F34), 4), ""), รวมพิเศษ!F34)</f>
        <v>326.19</v>
      </c>
      <c r="M37" s="187"/>
      <c r="N37" s="271">
        <f t="shared" si="0"/>
        <v>0</v>
      </c>
      <c r="O37" s="12">
        <f t="shared" si="1"/>
        <v>645</v>
      </c>
      <c r="P37" s="12">
        <f t="shared" si="2"/>
        <v>169.005</v>
      </c>
      <c r="Q37" s="186">
        <f t="shared" si="3"/>
        <v>407.01</v>
      </c>
      <c r="R37" s="273">
        <f t="shared" si="4"/>
        <v>0</v>
      </c>
    </row>
    <row r="38" spans="1:18" ht="21" x14ac:dyDescent="0.35">
      <c r="A38" s="9" t="s">
        <v>71</v>
      </c>
      <c r="B38" s="120"/>
      <c r="C38" s="8" t="s">
        <v>8</v>
      </c>
      <c r="D38" s="182">
        <f>HYPERLINK(IF($L$1="เปิด", "#'รวมปกติ'!" &amp; ADDRESS(ROW(รวมปกติ!C37), COLUMN(รวมปกติ!C37), 4), ""), รวมปกติ!C37)</f>
        <v>1021.78</v>
      </c>
      <c r="E38" s="13">
        <f>HYPERLINK(IF($L$1="เปิด", "#'รวมปกติ'!" &amp; ADDRESS(ROW(รวมปกติ!D37), COLUMN(รวมปกติ!D37), 4), ""), รวมปกติ!D37)</f>
        <v>1038.1099999999999</v>
      </c>
      <c r="F38" s="13">
        <f>HYPERLINK(IF($L$1="เปิด", "#'รวมปกติ'!" &amp; ADDRESS(ROW(รวมปกติ!E37), COLUMN(รวมปกติ!E37), 4), ""), รวมปกติ!E37)</f>
        <v>14.22</v>
      </c>
      <c r="G38" s="188">
        <f>HYPERLINK(IF($L$1="เปิด", "#'รวมปกติ'!" &amp; ADDRESS(ROW(รวมปกติ!F37), COLUMN(รวมปกติ!F37), 4), ""), รวมปกติ!F37)</f>
        <v>1037.06</v>
      </c>
      <c r="H38" s="189">
        <f>HYPERLINK(IF($L$1="เปิด", "#'รวมปกติ'!" &amp; ADDRESS(ROW(รวมปกติ!G37), COLUMN(รวมปกติ!G37), 4), ""), รวมปกติ!G37)</f>
        <v>1057.77</v>
      </c>
      <c r="I38" s="13">
        <f>HYPERLINK(IF($L$1="เปิด", "#'รวมพิเศษ'!" &amp; ADDRESS(ROW(รวมพิเศษ!C35), COLUMN(รวมพิเศษ!C35), 4), ""), รวมพิเศษ!C35)</f>
        <v>15.47</v>
      </c>
      <c r="J38" s="13">
        <f>HYPERLINK(IF($L$1="เปิด", "#'รวมพิเศษ'!" &amp; ADDRESS(ROW(รวมพิเศษ!D35), COLUMN(รวมพิเศษ!D35), 4), ""), รวมพิเศษ!D35)</f>
        <v>1.33</v>
      </c>
      <c r="K38" s="13">
        <f>HYPERLINK(IF($L$1="เปิด", "#'รวมพิเศษ'!" &amp; ADDRESS(ROW(รวมพิเศษ!E35), COLUMN(รวมพิเศษ!E35), 4), ""), รวมพิเศษ!E35)</f>
        <v>0</v>
      </c>
      <c r="L38" s="188">
        <f>HYPERLINK(IF($L$1="เปิด", "#'รวมพิเศษ'!" &amp; ADDRESS(ROW(รวมพิเศษ!F35), COLUMN(รวมพิเศษ!F35), 4), ""), รวมพิเศษ!F35)</f>
        <v>8.4</v>
      </c>
      <c r="M38" s="189">
        <f>HYPERLINK(IF($L$1="เปิด", "#'รวมพิเศษ'!" &amp; ADDRESS(ROW(รวมพิเศษ!G35), COLUMN(รวมพิเศษ!G35), 4), ""), รวมพิเศษ!G35)</f>
        <v>8.4</v>
      </c>
      <c r="N38" s="181">
        <f t="shared" si="0"/>
        <v>1037.25</v>
      </c>
      <c r="O38" s="11">
        <f t="shared" si="1"/>
        <v>1039.4399999999998</v>
      </c>
      <c r="P38" s="11">
        <f t="shared" si="2"/>
        <v>14.22</v>
      </c>
      <c r="Q38" s="184">
        <f t="shared" si="3"/>
        <v>1045.46</v>
      </c>
      <c r="R38" s="274">
        <f t="shared" si="4"/>
        <v>1066.17</v>
      </c>
    </row>
    <row r="39" spans="1:18" ht="21" x14ac:dyDescent="0.35">
      <c r="A39" s="125" t="str">
        <f>HYPERLINK(IF($L$1="เปิด", "#'รวมปกติ'!A37", "#C39"), IF($L$1="เปิด", "ไปรวมปกติ (A37)", ""))</f>
        <v/>
      </c>
      <c r="B39" s="126" t="str">
        <f>HYPERLINK(IF($L$1="เปิด", "#'รวมพิเศษ'!A37", "#D39"), IF($L$1="เปิด", "ไปรวมพิเศษ (A37)", ""))</f>
        <v/>
      </c>
      <c r="C39" s="7" t="s">
        <v>97</v>
      </c>
      <c r="D39" s="180">
        <f>HYPERLINK(IF($L$1="เปิด", "#'รวมปกติ'!" &amp; ADDRESS(ROW(รวมปกติ!C38), COLUMN(รวมปกติ!C38), 4), ""), รวมปกติ!C38)</f>
        <v>23.5</v>
      </c>
      <c r="E39" s="12">
        <f>HYPERLINK(IF($L$1="เปิด", "#'รวมปกติ'!" &amp; ADDRESS(ROW(รวมปกติ!D38), COLUMN(รวมปกติ!D38), 4), ""), รวมปกติ!D38)</f>
        <v>17.920000000000002</v>
      </c>
      <c r="F39" s="12">
        <f>HYPERLINK(IF($L$1="เปิด", "#'รวมปกติ'!" &amp; ADDRESS(ROW(รวมปกติ!E38), COLUMN(รวมปกติ!E38), 4), ""), รวมปกติ!E38)</f>
        <v>0</v>
      </c>
      <c r="G39" s="186">
        <f>HYPERLINK(IF($L$1="เปิด", "#'รวมปกติ'!" &amp; ADDRESS(ROW(รวมปกติ!F38), COLUMN(รวมปกติ!F38), 4), ""), รวมปกติ!F38)</f>
        <v>20.71</v>
      </c>
      <c r="H39" s="187"/>
      <c r="I39" s="12">
        <f>HYPERLINK(IF($L$1="เปิด", "#'รวมพิเศษ'!" &amp; ADDRESS(ROW(รวมพิเศษ!C36), COLUMN(รวมพิเศษ!C36), 4), ""), รวมพิเศษ!C36)</f>
        <v>0</v>
      </c>
      <c r="J39" s="12">
        <f>HYPERLINK(IF($L$1="เปิด", "#'รวมพิเศษ'!" &amp; ADDRESS(ROW(รวมพิเศษ!D36), COLUMN(รวมพิเศษ!D36), 4), ""), รวมพิเศษ!D36)</f>
        <v>0</v>
      </c>
      <c r="K39" s="12">
        <f>HYPERLINK(IF($L$1="เปิด", "#'รวมพิเศษ'!" &amp; ADDRESS(ROW(รวมพิเศษ!E36), COLUMN(รวมพิเศษ!E36), 4), ""), รวมพิเศษ!E36)</f>
        <v>0</v>
      </c>
      <c r="L39" s="186">
        <f>HYPERLINK(IF($L$1="เปิด", "#'รวมพิเศษ'!" &amp; ADDRESS(ROW(รวมพิเศษ!F36), COLUMN(รวมพิเศษ!F36), 4), ""), รวมพิเศษ!F36)</f>
        <v>0</v>
      </c>
      <c r="M39" s="187"/>
      <c r="N39" s="271">
        <f t="shared" si="0"/>
        <v>23.5</v>
      </c>
      <c r="O39" s="12">
        <f t="shared" si="1"/>
        <v>17.920000000000002</v>
      </c>
      <c r="P39" s="12">
        <f t="shared" si="2"/>
        <v>0</v>
      </c>
      <c r="Q39" s="186">
        <f t="shared" si="3"/>
        <v>20.71</v>
      </c>
      <c r="R39" s="273">
        <f t="shared" si="4"/>
        <v>0</v>
      </c>
    </row>
    <row r="40" spans="1:18" ht="21" x14ac:dyDescent="0.35">
      <c r="A40" s="9" t="s">
        <v>72</v>
      </c>
      <c r="B40" s="120"/>
      <c r="C40" s="8" t="s">
        <v>8</v>
      </c>
      <c r="D40" s="182">
        <f>HYPERLINK(IF($L$1="เปิด", "#'รวมปกติ'!" &amp; ADDRESS(ROW(รวมปกติ!C39), COLUMN(รวมปกติ!C39), 4), ""), รวมปกติ!C39)</f>
        <v>1752.58</v>
      </c>
      <c r="E40" s="13">
        <f>HYPERLINK(IF($L$1="เปิด", "#'รวมปกติ'!" &amp; ADDRESS(ROW(รวมปกติ!D39), COLUMN(รวมปกติ!D39), 4), ""), รวมปกติ!D39)</f>
        <v>1153</v>
      </c>
      <c r="F40" s="13">
        <f>HYPERLINK(IF($L$1="เปิด", "#'รวมปกติ'!" &amp; ADDRESS(ROW(รวมปกติ!E39), COLUMN(รวมปกติ!E39), 4), ""), รวมปกติ!E39)</f>
        <v>22.67</v>
      </c>
      <c r="G40" s="188">
        <f>HYPERLINK(IF($L$1="เปิด", "#'รวมปกติ'!" &amp; ADDRESS(ROW(รวมปกติ!F39), COLUMN(รวมปกติ!F39), 4), ""), รวมปกติ!F39)</f>
        <v>1464.12</v>
      </c>
      <c r="H40" s="189">
        <f>HYPERLINK(IF($L$1="เปิด", "#'รวมปกติ'!" &amp; ADDRESS(ROW(รวมปกติ!G39), COLUMN(รวมปกติ!G39), 4), ""), รวมปกติ!G39)</f>
        <v>1472.5</v>
      </c>
      <c r="I40" s="13">
        <f>HYPERLINK(IF($L$1="เปิด", "#'รวมพิเศษ'!" &amp; ADDRESS(ROW(รวมพิเศษ!C37), COLUMN(รวมพิเศษ!C37), 4), ""), รวมพิเศษ!C37)</f>
        <v>64.599999999999994</v>
      </c>
      <c r="J40" s="13">
        <f>HYPERLINK(IF($L$1="เปิด", "#'รวมพิเศษ'!" &amp; ADDRESS(ROW(รวมพิเศษ!D37), COLUMN(รวมพิเศษ!D37), 4), ""), รวมพิเศษ!D37)</f>
        <v>4</v>
      </c>
      <c r="K40" s="13">
        <f>HYPERLINK(IF($L$1="เปิด", "#'รวมพิเศษ'!" &amp; ADDRESS(ROW(รวมพิเศษ!E37), COLUMN(รวมพิเศษ!E37), 4), ""), รวมพิเศษ!E37)</f>
        <v>0</v>
      </c>
      <c r="L40" s="188">
        <f>HYPERLINK(IF($L$1="เปิด", "#'รวมพิเศษ'!" &amp; ADDRESS(ROW(รวมพิเศษ!F37), COLUMN(รวมพิเศษ!F37), 4), ""), รวมพิเศษ!F37)</f>
        <v>0</v>
      </c>
      <c r="M40" s="189">
        <f>HYPERLINK(IF($L$1="เปิด", "#'รวมพิเศษ'!" &amp; ADDRESS(ROW(รวมพิเศษ!G37), COLUMN(รวมพิเศษ!G37), 4), ""), รวมพิเศษ!G37)</f>
        <v>0</v>
      </c>
      <c r="N40" s="181">
        <f t="shared" ref="N40:N57" si="15">D40+I40</f>
        <v>1817.1799999999998</v>
      </c>
      <c r="O40" s="11">
        <f t="shared" ref="O40:O57" si="16">E40+J40</f>
        <v>1157</v>
      </c>
      <c r="P40" s="11">
        <f t="shared" ref="P40:P57" si="17">F40+K40</f>
        <v>22.67</v>
      </c>
      <c r="Q40" s="184">
        <f t="shared" ref="Q40:Q57" si="18">G40+L40</f>
        <v>1464.12</v>
      </c>
      <c r="R40" s="274">
        <f t="shared" ref="R40:R57" si="19">H40+M40</f>
        <v>1472.5</v>
      </c>
    </row>
    <row r="41" spans="1:18" ht="21" x14ac:dyDescent="0.35">
      <c r="A41" s="125" t="str">
        <f>HYPERLINK(IF($L$1="เปิด", "#'รวมปกติ'!A39", "#C41"), IF($L$1="เปิด", "ไปรวมปกติ (A39)", ""))</f>
        <v/>
      </c>
      <c r="B41" s="126" t="str">
        <f>HYPERLINK(IF($L$1="เปิด", "#'รวมพิเศษ'!A39", "#D41"), IF($L$1="เปิด", "ไปรวมพิเศษ (A39)", ""))</f>
        <v/>
      </c>
      <c r="C41" s="7" t="s">
        <v>97</v>
      </c>
      <c r="D41" s="180">
        <f>HYPERLINK(IF($L$1="เปิด", "#'รวมปกติ'!" &amp; ADDRESS(ROW(รวมปกติ!C40), COLUMN(รวมปกติ!C40), 4), ""), รวมปกติ!C40)</f>
        <v>8.08</v>
      </c>
      <c r="E41" s="12">
        <f>HYPERLINK(IF($L$1="เปิด", "#'รวมปกติ'!" &amp; ADDRESS(ROW(รวมปกติ!D40), COLUMN(รวมปกติ!D40), 4), ""), รวมปกติ!D40)</f>
        <v>8.67</v>
      </c>
      <c r="F41" s="12">
        <f>HYPERLINK(IF($L$1="เปิด", "#'รวมปกติ'!" &amp; ADDRESS(ROW(รวมปกติ!E40), COLUMN(รวมปกติ!E40), 4), ""), รวมปกติ!E40)</f>
        <v>0</v>
      </c>
      <c r="G41" s="186">
        <f>HYPERLINK(IF($L$1="เปิด", "#'รวมปกติ'!" &amp; ADDRESS(ROW(รวมปกติ!F40), COLUMN(รวมปกติ!F40), 4), ""), รวมปกติ!F40)</f>
        <v>8.3800000000000008</v>
      </c>
      <c r="H41" s="187"/>
      <c r="I41" s="12">
        <f>HYPERLINK(IF($L$1="เปิด", "#'รวมพิเศษ'!" &amp; ADDRESS(ROW(รวมพิเศษ!C38), COLUMN(รวมพิเศษ!C38), 4), ""), รวมพิเศษ!C38)</f>
        <v>62.67</v>
      </c>
      <c r="J41" s="12">
        <f>HYPERLINK(IF($L$1="เปิด", "#'รวมพิเศษ'!" &amp; ADDRESS(ROW(รวมพิเศษ!D38), COLUMN(รวมพิเศษ!D38), 4), ""), รวมพิเศษ!D38)</f>
        <v>38.08</v>
      </c>
      <c r="K41" s="12">
        <f>HYPERLINK(IF($L$1="เปิด", "#'รวมพิเศษ'!" &amp; ADDRESS(ROW(รวมพิเศษ!E38), COLUMN(รวมพิเศษ!E38), 4), ""), รวมพิเศษ!E38)</f>
        <v>17</v>
      </c>
      <c r="L41" s="186">
        <f>HYPERLINK(IF($L$1="เปิด", "#'รวมพิเศษ'!" &amp; ADDRESS(ROW(รวมพิเศษ!F38), COLUMN(รวมพิเศษ!F38), 4), ""), รวมพิเศษ!F38)</f>
        <v>0</v>
      </c>
      <c r="M41" s="187"/>
      <c r="N41" s="271">
        <f t="shared" si="15"/>
        <v>70.75</v>
      </c>
      <c r="O41" s="12">
        <f t="shared" si="16"/>
        <v>46.75</v>
      </c>
      <c r="P41" s="12">
        <f t="shared" si="17"/>
        <v>17</v>
      </c>
      <c r="Q41" s="186">
        <f t="shared" si="18"/>
        <v>8.3800000000000008</v>
      </c>
      <c r="R41" s="273">
        <f t="shared" si="19"/>
        <v>0</v>
      </c>
    </row>
    <row r="42" spans="1:18" ht="21" x14ac:dyDescent="0.35">
      <c r="A42" s="9" t="s">
        <v>79</v>
      </c>
      <c r="B42" s="120"/>
      <c r="C42" s="8" t="s">
        <v>8</v>
      </c>
      <c r="D42" s="182">
        <f>HYPERLINK(IF($L$1="เปิด", "#'รวมปกติ'!" &amp; ADDRESS(ROW(รวมปกติ!C41), COLUMN(รวมปกติ!C41), 4), ""), รวมปกติ!C41)</f>
        <v>735.78</v>
      </c>
      <c r="E42" s="13">
        <f>HYPERLINK(IF($L$1="เปิด", "#'รวมปกติ'!" &amp; ADDRESS(ROW(รวมปกติ!D41), COLUMN(รวมปกติ!D41), 4), ""), รวมปกติ!D41)</f>
        <v>484.89</v>
      </c>
      <c r="F42" s="13">
        <f>HYPERLINK(IF($L$1="เปิด", "#'รวมปกติ'!" &amp; ADDRESS(ROW(รวมปกติ!E41), COLUMN(รวมปกติ!E41), 4), ""), รวมปกติ!E41)</f>
        <v>0.67</v>
      </c>
      <c r="G42" s="188">
        <f>HYPERLINK(IF($L$1="เปิด", "#'รวมปกติ'!" &amp; ADDRESS(ROW(รวมปกติ!F41), COLUMN(รวมปกติ!F41), 4), ""), รวมปกติ!F41)</f>
        <v>610.66999999999996</v>
      </c>
      <c r="H42" s="189">
        <f>HYPERLINK(IF($L$1="เปิด", "#'รวมปกติ'!" &amp; ADDRESS(ROW(รวมปกติ!G41), COLUMN(รวมปกติ!G41), 4), ""), รวมปกติ!G41)</f>
        <v>610.66999999999996</v>
      </c>
      <c r="I42" s="13">
        <f>HYPERLINK(IF($L$1="เปิด", "#'รวมพิเศษ'!" &amp; ADDRESS(ROW(รวมพิเศษ!C39), COLUMN(รวมพิเศษ!C39), 4), ""), รวมพิเศษ!C39)</f>
        <v>0</v>
      </c>
      <c r="J42" s="13">
        <f>HYPERLINK(IF($L$1="เปิด", "#'รวมพิเศษ'!" &amp; ADDRESS(ROW(รวมพิเศษ!D39), COLUMN(รวมพิเศษ!D39), 4), ""), รวมพิเศษ!D39)</f>
        <v>0</v>
      </c>
      <c r="K42" s="13">
        <f>HYPERLINK(IF($L$1="เปิด", "#'รวมพิเศษ'!" &amp; ADDRESS(ROW(รวมพิเศษ!E39), COLUMN(รวมพิเศษ!E39), 4), ""), รวมพิเศษ!E39)</f>
        <v>0</v>
      </c>
      <c r="L42" s="188">
        <f>HYPERLINK(IF($L$1="เปิด", "#'รวมพิเศษ'!" &amp; ADDRESS(ROW(รวมพิเศษ!F39), COLUMN(รวมพิเศษ!F39), 4), ""), รวมพิเศษ!F39)</f>
        <v>58.88</v>
      </c>
      <c r="M42" s="189">
        <f>HYPERLINK(IF($L$1="เปิด", "#'รวมพิเศษ'!" &amp; ADDRESS(ROW(รวมพิเศษ!G39), COLUMN(รวมพิเศษ!G39), 4), ""), รวมพิเศษ!G39)</f>
        <v>58.88</v>
      </c>
      <c r="N42" s="181">
        <f t="shared" si="15"/>
        <v>735.78</v>
      </c>
      <c r="O42" s="11">
        <f t="shared" si="16"/>
        <v>484.89</v>
      </c>
      <c r="P42" s="11">
        <f t="shared" si="17"/>
        <v>0.67</v>
      </c>
      <c r="Q42" s="184">
        <f t="shared" si="18"/>
        <v>669.55</v>
      </c>
      <c r="R42" s="274">
        <f t="shared" si="19"/>
        <v>669.55</v>
      </c>
    </row>
    <row r="43" spans="1:18" ht="21" x14ac:dyDescent="0.35">
      <c r="A43" s="125" t="str">
        <f>HYPERLINK(IF($L$1="เปิด", "#'รวมปกติ'!A41", "#C43"), IF($L$1="เปิด", "ไปรวมปกติ (A41)", ""))</f>
        <v/>
      </c>
      <c r="B43" s="126" t="str">
        <f>HYPERLINK(IF($L$1="เปิด", "#'รวมพิเศษ'!A41", "#D43"), IF($L$1="เปิด", "ไปรวมพิเศษ (A41)", ""))</f>
        <v/>
      </c>
      <c r="C43" s="7" t="s">
        <v>97</v>
      </c>
      <c r="D43" s="180">
        <f>HYPERLINK(IF($L$1="เปิด", "#'รวมปกติ'!" &amp; ADDRESS(ROW(รวมปกติ!C42), COLUMN(รวมปกติ!C42), 4), ""), รวมปกติ!C42)</f>
        <v>0</v>
      </c>
      <c r="E43" s="12">
        <f>HYPERLINK(IF($L$1="เปิด", "#'รวมปกติ'!" &amp; ADDRESS(ROW(รวมปกติ!D42), COLUMN(รวมปกติ!D42), 4), ""), รวมปกติ!D42)</f>
        <v>0</v>
      </c>
      <c r="F43" s="12">
        <f>HYPERLINK(IF($L$1="เปิด", "#'รวมปกติ'!" &amp; ADDRESS(ROW(รวมปกติ!E42), COLUMN(รวมปกติ!E42), 4), ""), รวมปกติ!E42)</f>
        <v>0</v>
      </c>
      <c r="G43" s="186">
        <f>HYPERLINK(IF($L$1="เปิด", "#'รวมปกติ'!" &amp; ADDRESS(ROW(รวมปกติ!F42), COLUMN(รวมปกติ!F42), 4), ""), รวมปกติ!F42)</f>
        <v>0</v>
      </c>
      <c r="H43" s="187"/>
      <c r="I43" s="12">
        <f>HYPERLINK(IF($L$1="เปิด", "#'รวมพิเศษ'!" &amp; ADDRESS(ROW(รวมพิเศษ!C40), COLUMN(รวมพิเศษ!C40), 4), ""), รวมพิเศษ!C40)</f>
        <v>17.100000000000001</v>
      </c>
      <c r="J43" s="12">
        <f>HYPERLINK(IF($L$1="เปิด", "#'รวมพิเศษ'!" &amp; ADDRESS(ROW(รวมพิเศษ!D40), COLUMN(รวมพิเศษ!D40), 4), ""), รวมพิเศษ!D40)</f>
        <v>7.2</v>
      </c>
      <c r="K43" s="12">
        <f>HYPERLINK(IF($L$1="เปิด", "#'รวมพิเศษ'!" &amp; ADDRESS(ROW(รวมพิเศษ!E40), COLUMN(รวมพิเศษ!E40), 4), ""), รวมพิเศษ!E40)</f>
        <v>0</v>
      </c>
      <c r="L43" s="186">
        <f>HYPERLINK(IF($L$1="เปิด", "#'รวมพิเศษ'!" &amp; ADDRESS(ROW(รวมพิเศษ!F40), COLUMN(รวมพิเศษ!F40), 4), ""), รวมพิเศษ!F40)</f>
        <v>0</v>
      </c>
      <c r="M43" s="187"/>
      <c r="N43" s="271">
        <f t="shared" si="15"/>
        <v>17.100000000000001</v>
      </c>
      <c r="O43" s="12">
        <f t="shared" si="16"/>
        <v>7.2</v>
      </c>
      <c r="P43" s="12">
        <f t="shared" si="17"/>
        <v>0</v>
      </c>
      <c r="Q43" s="186">
        <f t="shared" si="18"/>
        <v>0</v>
      </c>
      <c r="R43" s="273">
        <f t="shared" si="19"/>
        <v>0</v>
      </c>
    </row>
    <row r="44" spans="1:18" ht="21" x14ac:dyDescent="0.35">
      <c r="A44" s="9" t="s">
        <v>80</v>
      </c>
      <c r="B44" s="120"/>
      <c r="C44" s="8" t="s">
        <v>8</v>
      </c>
      <c r="D44" s="182">
        <f>HYPERLINK(IF($L$1="เปิด", "#'รวมปกติ'!" &amp; ADDRESS(ROW(รวมปกติ!C43), COLUMN(รวมปกติ!C43), 4), ""), รวมปกติ!C43)</f>
        <v>0</v>
      </c>
      <c r="E44" s="13">
        <f>HYPERLINK(IF($L$1="เปิด", "#'รวมปกติ'!" &amp; ADDRESS(ROW(รวมปกติ!D43), COLUMN(รวมปกติ!D43), 4), ""), รวมปกติ!D43)</f>
        <v>0</v>
      </c>
      <c r="F44" s="13">
        <f>HYPERLINK(IF($L$1="เปิด", "#'รวมปกติ'!" &amp; ADDRESS(ROW(รวมปกติ!E43), COLUMN(รวมปกติ!E43), 4), ""), รวมปกติ!E43)</f>
        <v>0</v>
      </c>
      <c r="G44" s="188">
        <f>HYPERLINK(IF($L$1="เปิด", "#'รวมปกติ'!" &amp; ADDRESS(ROW(รวมปกติ!F43), COLUMN(รวมปกติ!F43), 4), ""), รวมปกติ!F43)</f>
        <v>0</v>
      </c>
      <c r="H44" s="189">
        <f>HYPERLINK(IF($L$1="เปิด", "#'รวมปกติ'!" &amp; ADDRESS(ROW(รวมปกติ!G43), COLUMN(รวมปกติ!G43), 4), ""), รวมปกติ!G43)</f>
        <v>2.25</v>
      </c>
      <c r="I44" s="13">
        <f>HYPERLINK(IF($L$1="เปิด", "#'รวมพิเศษ'!" &amp; ADDRESS(ROW(รวมพิเศษ!C41), COLUMN(รวมพิเศษ!C41), 4), ""), รวมพิเศษ!C41)</f>
        <v>0</v>
      </c>
      <c r="J44" s="13">
        <f>HYPERLINK(IF($L$1="เปิด", "#'รวมพิเศษ'!" &amp; ADDRESS(ROW(รวมพิเศษ!D41), COLUMN(รวมพิเศษ!D41), 4), ""), รวมพิเศษ!D41)</f>
        <v>0</v>
      </c>
      <c r="K44" s="13">
        <f>HYPERLINK(IF($L$1="เปิด", "#'รวมพิเศษ'!" &amp; ADDRESS(ROW(รวมพิเศษ!E41), COLUMN(รวมพิเศษ!E41), 4), ""), รวมพิเศษ!E41)</f>
        <v>0</v>
      </c>
      <c r="L44" s="188">
        <f>HYPERLINK(IF($L$1="เปิด", "#'รวมพิเศษ'!" &amp; ADDRESS(ROW(รวมพิเศษ!F41), COLUMN(รวมพิเศษ!F41), 4), ""), รวมพิเศษ!F41)</f>
        <v>6.75</v>
      </c>
      <c r="M44" s="189">
        <f>HYPERLINK(IF($L$1="เปิด", "#'รวมพิเศษ'!" &amp; ADDRESS(ROW(รวมพิเศษ!G41), COLUMN(รวมพิเศษ!G41), 4), ""), รวมพิเศษ!G41)</f>
        <v>6.75</v>
      </c>
      <c r="N44" s="181">
        <f t="shared" si="15"/>
        <v>0</v>
      </c>
      <c r="O44" s="11">
        <f t="shared" si="16"/>
        <v>0</v>
      </c>
      <c r="P44" s="11">
        <f t="shared" si="17"/>
        <v>0</v>
      </c>
      <c r="Q44" s="184">
        <f t="shared" si="18"/>
        <v>6.75</v>
      </c>
      <c r="R44" s="274">
        <f t="shared" si="19"/>
        <v>9</v>
      </c>
    </row>
    <row r="45" spans="1:18" ht="21" x14ac:dyDescent="0.35">
      <c r="A45" s="125" t="str">
        <f>HYPERLINK(IF($L$1="เปิด", "#'รวมปกติ'!A43", "#C45"), IF($L$1="เปิด", "ไปรวมปกติ (A43)", ""))</f>
        <v/>
      </c>
      <c r="B45" s="126" t="str">
        <f>HYPERLINK(IF($L$1="เปิด", "#'รวมพิเศษ'!A43", "#D45"), IF($L$1="เปิด", "ไปรวมพิเศษ (A43)", ""))</f>
        <v/>
      </c>
      <c r="C45" s="7" t="s">
        <v>97</v>
      </c>
      <c r="D45" s="180">
        <f>HYPERLINK(IF($L$1="เปิด", "#'รวมปกติ'!" &amp; ADDRESS(ROW(รวมปกติ!C44), COLUMN(รวมปกติ!C44), 4), ""), รวมปกติ!C44)</f>
        <v>4.5</v>
      </c>
      <c r="E45" s="12">
        <f>HYPERLINK(IF($L$1="เปิด", "#'รวมปกติ'!" &amp; ADDRESS(ROW(รวมปกติ!D44), COLUMN(รวมปกติ!D44), 4), ""), รวมปกติ!D44)</f>
        <v>0</v>
      </c>
      <c r="F45" s="12">
        <f>HYPERLINK(IF($L$1="เปิด", "#'รวมปกติ'!" &amp; ADDRESS(ROW(รวมปกติ!E44), COLUMN(รวมปกติ!E44), 4), ""), รวมปกติ!E44)</f>
        <v>0</v>
      </c>
      <c r="G45" s="186">
        <f>HYPERLINK(IF($L$1="เปิด", "#'รวมปกติ'!" &amp; ADDRESS(ROW(รวมปกติ!F44), COLUMN(รวมปกติ!F44), 4), ""), รวมปกติ!F44)</f>
        <v>2.25</v>
      </c>
      <c r="H45" s="187"/>
      <c r="I45" s="12">
        <f>HYPERLINK(IF($L$1="เปิด", "#'รวมพิเศษ'!" &amp; ADDRESS(ROW(รวมพิเศษ!C42), COLUMN(รวมพิเศษ!C42), 4), ""), รวมพิเศษ!C42)</f>
        <v>0</v>
      </c>
      <c r="J45" s="12">
        <f>HYPERLINK(IF($L$1="เปิด", "#'รวมพิเศษ'!" &amp; ADDRESS(ROW(รวมพิเศษ!D42), COLUMN(รวมพิเศษ!D42), 4), ""), รวมพิเศษ!D42)</f>
        <v>0</v>
      </c>
      <c r="K45" s="12">
        <f>HYPERLINK(IF($L$1="เปิด", "#'รวมพิเศษ'!" &amp; ADDRESS(ROW(รวมพิเศษ!E42), COLUMN(รวมพิเศษ!E42), 4), ""), รวมพิเศษ!E42)</f>
        <v>0</v>
      </c>
      <c r="L45" s="186">
        <f>HYPERLINK(IF($L$1="เปิด", "#'รวมพิเศษ'!" &amp; ADDRESS(ROW(รวมพิเศษ!F42), COLUMN(รวมพิเศษ!F42), 4), ""), รวมพิเศษ!F42)</f>
        <v>0</v>
      </c>
      <c r="M45" s="187"/>
      <c r="N45" s="271">
        <f t="shared" si="15"/>
        <v>4.5</v>
      </c>
      <c r="O45" s="12">
        <f t="shared" si="16"/>
        <v>0</v>
      </c>
      <c r="P45" s="12">
        <f t="shared" si="17"/>
        <v>0</v>
      </c>
      <c r="Q45" s="186">
        <f t="shared" si="18"/>
        <v>2.25</v>
      </c>
      <c r="R45" s="273">
        <f t="shared" si="19"/>
        <v>0</v>
      </c>
    </row>
    <row r="46" spans="1:18" ht="21" x14ac:dyDescent="0.35">
      <c r="A46" s="9" t="s">
        <v>81</v>
      </c>
      <c r="B46" s="120"/>
      <c r="C46" s="8" t="s">
        <v>8</v>
      </c>
      <c r="D46" s="182">
        <f>HYPERLINK(IF($L$1="เปิด", "#'รวมปกติ'!" &amp; ADDRESS(ROW(รวมปกติ!C45), COLUMN(รวมปกติ!C45), 4), ""), รวมปกติ!C45)</f>
        <v>1023.78</v>
      </c>
      <c r="E46" s="13">
        <f>HYPERLINK(IF($L$1="เปิด", "#'รวมปกติ'!" &amp; ADDRESS(ROW(รวมปกติ!D45), COLUMN(รวมปกติ!D45), 4), ""), รวมปกติ!D45)</f>
        <v>955.61</v>
      </c>
      <c r="F46" s="13">
        <f>HYPERLINK(IF($L$1="เปิด", "#'รวมปกติ'!" &amp; ADDRESS(ROW(รวมปกติ!E45), COLUMN(รวมปกติ!E45), 4), ""), รวมปกติ!E45)</f>
        <v>0</v>
      </c>
      <c r="G46" s="188">
        <f>HYPERLINK(IF($L$1="เปิด", "#'รวมปกติ'!" &amp; ADDRESS(ROW(รวมปกติ!F45), COLUMN(รวมปกติ!F45), 4), ""), รวมปกติ!F45)</f>
        <v>989.7</v>
      </c>
      <c r="H46" s="189">
        <f>HYPERLINK(IF($L$1="เปิด", "#'รวมปกติ'!" &amp; ADDRESS(ROW(รวมปกติ!G45), COLUMN(รวมปกติ!G45), 4), ""), รวมปกติ!G45)</f>
        <v>989.7</v>
      </c>
      <c r="I46" s="13">
        <f>HYPERLINK(IF($L$1="เปิด", "#'รวมพิเศษ'!" &amp; ADDRESS(ROW(รวมพิเศษ!C43), COLUMN(รวมพิเศษ!C43), 4), ""), รวมพิเศษ!C43)</f>
        <v>133.32</v>
      </c>
      <c r="J46" s="13">
        <f>HYPERLINK(IF($L$1="เปิด", "#'รวมพิเศษ'!" &amp; ADDRESS(ROW(รวมพิเศษ!D43), COLUMN(รวมพิเศษ!D43), 4), ""), รวมพิเศษ!D43)</f>
        <v>85.83</v>
      </c>
      <c r="K46" s="13">
        <f>HYPERLINK(IF($L$1="เปิด", "#'รวมพิเศษ'!" &amp; ADDRESS(ROW(รวมพิเศษ!E43), COLUMN(รวมพิเศษ!E43), 4), ""), รวมพิเศษ!E43)</f>
        <v>12.17</v>
      </c>
      <c r="L46" s="188">
        <f>HYPERLINK(IF($L$1="เปิด", "#'รวมพิเศษ'!" &amp; ADDRESS(ROW(รวมพิเศษ!F43), COLUMN(รวมพิเศษ!F43), 4), ""), รวมพิเศษ!F43)</f>
        <v>0</v>
      </c>
      <c r="M46" s="189">
        <f>HYPERLINK(IF($L$1="เปิด", "#'รวมพิเศษ'!" &amp; ADDRESS(ROW(รวมพิเศษ!G43), COLUMN(รวมพิเศษ!G43), 4), ""), รวมพิเศษ!G43)</f>
        <v>0</v>
      </c>
      <c r="N46" s="181">
        <f t="shared" si="15"/>
        <v>1157.0999999999999</v>
      </c>
      <c r="O46" s="11">
        <f t="shared" si="16"/>
        <v>1041.44</v>
      </c>
      <c r="P46" s="11">
        <f t="shared" si="17"/>
        <v>12.17</v>
      </c>
      <c r="Q46" s="184">
        <f t="shared" si="18"/>
        <v>989.7</v>
      </c>
      <c r="R46" s="274">
        <f t="shared" si="19"/>
        <v>989.7</v>
      </c>
    </row>
    <row r="47" spans="1:18" ht="21" x14ac:dyDescent="0.35">
      <c r="A47" s="125" t="str">
        <f>HYPERLINK(IF($L$1="เปิด", "#'รวมปกติ'!A45", "#C47"), IF($L$1="เปิด", "ไปรวมปกติ (A45)", ""))</f>
        <v/>
      </c>
      <c r="B47" s="126" t="str">
        <f>HYPERLINK(IF($L$1="เปิด", "#'รวมพิเศษ'!A45", "#D47"), IF($L$1="เปิด", "ไปรวมพิเศษ (A45)", ""))</f>
        <v/>
      </c>
      <c r="C47" s="7" t="s">
        <v>97</v>
      </c>
      <c r="D47" s="180">
        <f>HYPERLINK(IF($L$1="เปิด", "#'รวมปกติ'!" &amp; ADDRESS(ROW(รวมปกติ!C46), COLUMN(รวมปกติ!C46), 4), ""), รวมปกติ!C46)</f>
        <v>0</v>
      </c>
      <c r="E47" s="12">
        <f>HYPERLINK(IF($L$1="เปิด", "#'รวมปกติ'!" &amp; ADDRESS(ROW(รวมปกติ!D46), COLUMN(รวมปกติ!D46), 4), ""), รวมปกติ!D46)</f>
        <v>0</v>
      </c>
      <c r="F47" s="12">
        <f>HYPERLINK(IF($L$1="เปิด", "#'รวมปกติ'!" &amp; ADDRESS(ROW(รวมปกติ!E46), COLUMN(รวมปกติ!E46), 4), ""), รวมปกติ!E46)</f>
        <v>0</v>
      </c>
      <c r="G47" s="186">
        <f>HYPERLINK(IF($L$1="เปิด", "#'รวมปกติ'!" &amp; ADDRESS(ROW(รวมปกติ!F46), COLUMN(รวมปกติ!F46), 4), ""), รวมปกติ!F46)</f>
        <v>0</v>
      </c>
      <c r="H47" s="187"/>
      <c r="I47" s="12">
        <f>HYPERLINK(IF($L$1="เปิด", "#'รวมพิเศษ'!" &amp; ADDRESS(ROW(รวมพิเศษ!C44), COLUMN(รวมพิเศษ!C44), 4), ""), รวมพิเศษ!C44)</f>
        <v>0</v>
      </c>
      <c r="J47" s="12">
        <f>HYPERLINK(IF($L$1="เปิด", "#'รวมพิเศษ'!" &amp; ADDRESS(ROW(รวมพิเศษ!D44), COLUMN(รวมพิเศษ!D44), 4), ""), รวมพิเศษ!D44)</f>
        <v>0</v>
      </c>
      <c r="K47" s="12">
        <f>HYPERLINK(IF($L$1="เปิด", "#'รวมพิเศษ'!" &amp; ADDRESS(ROW(รวมพิเศษ!E44), COLUMN(รวมพิเศษ!E44), 4), ""), รวมพิเศษ!E44)</f>
        <v>0</v>
      </c>
      <c r="L47" s="186">
        <f>HYPERLINK(IF($L$1="เปิด", "#'รวมพิเศษ'!" &amp; ADDRESS(ROW(รวมพิเศษ!F44), COLUMN(รวมพิเศษ!F44), 4), ""), รวมพิเศษ!F44)</f>
        <v>0</v>
      </c>
      <c r="M47" s="187"/>
      <c r="N47" s="271">
        <f t="shared" si="15"/>
        <v>0</v>
      </c>
      <c r="O47" s="12">
        <f t="shared" si="16"/>
        <v>0</v>
      </c>
      <c r="P47" s="12">
        <f t="shared" si="17"/>
        <v>0</v>
      </c>
      <c r="Q47" s="186">
        <f t="shared" si="18"/>
        <v>0</v>
      </c>
      <c r="R47" s="273">
        <f t="shared" si="19"/>
        <v>0</v>
      </c>
    </row>
    <row r="48" spans="1:18" ht="21" x14ac:dyDescent="0.35">
      <c r="A48" s="9" t="s">
        <v>84</v>
      </c>
      <c r="B48" s="120"/>
      <c r="C48" s="8" t="s">
        <v>8</v>
      </c>
      <c r="D48" s="182">
        <f>HYPERLINK(IF($L$1="เปิด", "#'รวมปกติ'!" &amp; ADDRESS(ROW(รวมปกติ!C47), COLUMN(รวมปกติ!C47), 4), ""), รวมปกติ!C47)</f>
        <v>163.46</v>
      </c>
      <c r="E48" s="13">
        <f>HYPERLINK(IF($L$1="เปิด", "#'รวมปกติ'!" &amp; ADDRESS(ROW(รวมปกติ!D47), COLUMN(รวมปกติ!D47), 4), ""), รวมปกติ!D47)</f>
        <v>121.33</v>
      </c>
      <c r="F48" s="13">
        <f>HYPERLINK(IF($L$1="เปิด", "#'รวมปกติ'!" &amp; ADDRESS(ROW(รวมปกติ!E47), COLUMN(รวมปกติ!E47), 4), ""), รวมปกติ!E47)</f>
        <v>0.56000000000000005</v>
      </c>
      <c r="G48" s="188">
        <f>HYPERLINK(IF($L$1="เปิด", "#'รวมปกติ'!" &amp; ADDRESS(ROW(รวมปกติ!F47), COLUMN(รวมปกติ!F47), 4), ""), รวมปกติ!F47)</f>
        <v>142.66999999999999</v>
      </c>
      <c r="H48" s="189">
        <f>HYPERLINK(IF($L$1="เปิด", "#'รวมปกติ'!" &amp; ADDRESS(ROW(รวมปกติ!G47), COLUMN(รวมปกติ!G47), 4), ""), รวมปกติ!G47)</f>
        <v>143.66999999999999</v>
      </c>
      <c r="I48" s="13">
        <f>HYPERLINK(IF($L$1="เปิด", "#'รวมพิเศษ'!" &amp; ADDRESS(ROW(รวมพิเศษ!C45), COLUMN(รวมพิเศษ!C45), 4), ""), รวมพิเศษ!C45)</f>
        <v>0</v>
      </c>
      <c r="J48" s="13">
        <f>HYPERLINK(IF($L$1="เปิด", "#'รวมพิเศษ'!" &amp; ADDRESS(ROW(รวมพิเศษ!D45), COLUMN(รวมพิเศษ!D45), 4), ""), รวมพิเศษ!D45)</f>
        <v>0</v>
      </c>
      <c r="K48" s="13">
        <f>HYPERLINK(IF($L$1="เปิด", "#'รวมพิเศษ'!" &amp; ADDRESS(ROW(รวมพิเศษ!E45), COLUMN(รวมพิเศษ!E45), 4), ""), รวมพิเศษ!E45)</f>
        <v>0</v>
      </c>
      <c r="L48" s="188">
        <f>HYPERLINK(IF($L$1="เปิด", "#'รวมพิเศษ'!" &amp; ADDRESS(ROW(รวมพิเศษ!F45), COLUMN(รวมพิเศษ!F45), 4), ""), รวมพิเศษ!F45)</f>
        <v>0</v>
      </c>
      <c r="M48" s="189">
        <f>HYPERLINK(IF($L$1="เปิด", "#'รวมพิเศษ'!" &amp; ADDRESS(ROW(รวมพิเศษ!G45), COLUMN(รวมพิเศษ!G45), 4), ""), รวมพิเศษ!G45)</f>
        <v>0</v>
      </c>
      <c r="N48" s="181">
        <f t="shared" si="15"/>
        <v>163.46</v>
      </c>
      <c r="O48" s="11">
        <f t="shared" si="16"/>
        <v>121.33</v>
      </c>
      <c r="P48" s="11">
        <f t="shared" si="17"/>
        <v>0.56000000000000005</v>
      </c>
      <c r="Q48" s="184">
        <f t="shared" si="18"/>
        <v>142.66999999999999</v>
      </c>
      <c r="R48" s="274">
        <f t="shared" si="19"/>
        <v>143.66999999999999</v>
      </c>
    </row>
    <row r="49" spans="1:18" ht="21" x14ac:dyDescent="0.35">
      <c r="A49" s="125" t="str">
        <f>HYPERLINK(IF($L$1="เปิด", "#'รวมปกติ'!A47", "#C49"), IF($L$1="เปิด", "ไปรวมปกติ (A47)", ""))</f>
        <v/>
      </c>
      <c r="B49" s="126" t="str">
        <f>HYPERLINK(IF($L$1="เปิด", "#'รวมพิเศษ'!A47", "#D49"), IF($L$1="เปิด", "ไปรวมพิเศษ (A47)", ""))</f>
        <v/>
      </c>
      <c r="C49" s="7" t="s">
        <v>97</v>
      </c>
      <c r="D49" s="180">
        <f>HYPERLINK(IF($L$1="เปิด", "#'รวมปกติ'!" &amp; ADDRESS(ROW(รวมปกติ!C48), COLUMN(รวมปกติ!C48), 4), ""), รวมปกติ!C48)</f>
        <v>0</v>
      </c>
      <c r="E49" s="12">
        <f>HYPERLINK(IF($L$1="เปิด", "#'รวมปกติ'!" &amp; ADDRESS(ROW(รวมปกติ!D48), COLUMN(รวมปกติ!D48), 4), ""), รวมปกติ!D48)</f>
        <v>1</v>
      </c>
      <c r="F49" s="12">
        <f>HYPERLINK(IF($L$1="เปิด", "#'รวมปกติ'!" &amp; ADDRESS(ROW(รวมปกติ!E48), COLUMN(รวมปกติ!E48), 4), ""), รวมปกติ!E48)</f>
        <v>1</v>
      </c>
      <c r="G49" s="186">
        <f>HYPERLINK(IF($L$1="เปิด", "#'รวมปกติ'!" &amp; ADDRESS(ROW(รวมปกติ!F48), COLUMN(รวมปกติ!F48), 4), ""), รวมปกติ!F48)</f>
        <v>1</v>
      </c>
      <c r="H49" s="187"/>
      <c r="I49" s="12">
        <f>HYPERLINK(IF($L$1="เปิด", "#'รวมพิเศษ'!" &amp; ADDRESS(ROW(รวมพิเศษ!C46), COLUMN(รวมพิเศษ!C46), 4), ""), รวมพิเศษ!C46)</f>
        <v>0</v>
      </c>
      <c r="J49" s="12">
        <f>HYPERLINK(IF($L$1="เปิด", "#'รวมพิเศษ'!" &amp; ADDRESS(ROW(รวมพิเศษ!D46), COLUMN(รวมพิเศษ!D46), 4), ""), รวมพิเศษ!D46)</f>
        <v>0</v>
      </c>
      <c r="K49" s="12">
        <f>HYPERLINK(IF($L$1="เปิด", "#'รวมพิเศษ'!" &amp; ADDRESS(ROW(รวมพิเศษ!E46), COLUMN(รวมพิเศษ!E46), 4), ""), รวมพิเศษ!E46)</f>
        <v>0</v>
      </c>
      <c r="L49" s="186">
        <f>HYPERLINK(IF($L$1="เปิด", "#'รวมพิเศษ'!" &amp; ADDRESS(ROW(รวมพิเศษ!F46), COLUMN(รวมพิเศษ!F46), 4), ""), รวมพิเศษ!F46)</f>
        <v>0</v>
      </c>
      <c r="M49" s="187"/>
      <c r="N49" s="271">
        <f t="shared" si="15"/>
        <v>0</v>
      </c>
      <c r="O49" s="12">
        <f t="shared" si="16"/>
        <v>1</v>
      </c>
      <c r="P49" s="12">
        <f t="shared" si="17"/>
        <v>1</v>
      </c>
      <c r="Q49" s="186">
        <f t="shared" si="18"/>
        <v>1</v>
      </c>
      <c r="R49" s="273">
        <f t="shared" si="19"/>
        <v>0</v>
      </c>
    </row>
    <row r="50" spans="1:18" ht="21" x14ac:dyDescent="0.35">
      <c r="A50" s="9" t="s">
        <v>85</v>
      </c>
      <c r="B50" s="120"/>
      <c r="C50" s="8" t="s">
        <v>8</v>
      </c>
      <c r="D50" s="182">
        <f>HYPERLINK(IF($L$1="เปิด", "#'รวมปกติ'!" &amp; ADDRESS(ROW(รวมปกติ!C49), COLUMN(รวมปกติ!C49), 4), ""), รวมปกติ!C49)</f>
        <v>892.97</v>
      </c>
      <c r="E50" s="13">
        <f>HYPERLINK(IF($L$1="เปิด", "#'รวมปกติ'!" &amp; ADDRESS(ROW(รวมปกติ!D49), COLUMN(รวมปกติ!D49), 4), ""), รวมปกติ!D49)</f>
        <v>656.06</v>
      </c>
      <c r="F50" s="13">
        <f>HYPERLINK(IF($L$1="เปิด", "#'รวมปกติ'!" &amp; ADDRESS(ROW(รวมปกติ!E49), COLUMN(รวมปกติ!E49), 4), ""), รวมปกติ!E49)</f>
        <v>3.17</v>
      </c>
      <c r="G50" s="188">
        <f>HYPERLINK(IF($L$1="เปิด", "#'รวมปกติ'!" &amp; ADDRESS(ROW(รวมปกติ!F49), COLUMN(รวมปกติ!F49), 4), ""), รวมปกติ!F49)</f>
        <v>776.1</v>
      </c>
      <c r="H50" s="189">
        <f>HYPERLINK(IF($L$1="เปิด", "#'รวมปกติ'!" &amp; ADDRESS(ROW(รวมปกติ!G49), COLUMN(รวมปกติ!G49), 4), ""), รวมปกติ!G49)</f>
        <v>776.1</v>
      </c>
      <c r="I50" s="13">
        <f>HYPERLINK(IF($L$1="เปิด", "#'รวมพิเศษ'!" &amp; ADDRESS(ROW(รวมพิเศษ!C47), COLUMN(รวมพิเศษ!C47), 4), ""), รวมพิเศษ!C47)</f>
        <v>2.15</v>
      </c>
      <c r="J50" s="13">
        <f>HYPERLINK(IF($L$1="เปิด", "#'รวมพิเศษ'!" &amp; ADDRESS(ROW(รวมพิเศษ!D47), COLUMN(รวมพิเศษ!D47), 4), ""), รวมพิเศษ!D47)</f>
        <v>0</v>
      </c>
      <c r="K50" s="13">
        <f>HYPERLINK(IF($L$1="เปิด", "#'รวมพิเศษ'!" &amp; ADDRESS(ROW(รวมพิเศษ!E47), COLUMN(รวมพิเศษ!E47), 4), ""), รวมพิเศษ!E47)</f>
        <v>0</v>
      </c>
      <c r="L50" s="188">
        <f>HYPERLINK(IF($L$1="เปิด", "#'รวมพิเศษ'!" &amp; ADDRESS(ROW(รวมพิเศษ!F47), COLUMN(รวมพิเศษ!F47), 4), ""), รวมพิเศษ!F47)</f>
        <v>0</v>
      </c>
      <c r="M50" s="189">
        <f>HYPERLINK(IF($L$1="เปิด", "#'รวมพิเศษ'!" &amp; ADDRESS(ROW(รวมพิเศษ!G47), COLUMN(รวมพิเศษ!G47), 4), ""), รวมพิเศษ!G47)</f>
        <v>0</v>
      </c>
      <c r="N50" s="181">
        <f t="shared" si="15"/>
        <v>895.12</v>
      </c>
      <c r="O50" s="11">
        <f t="shared" si="16"/>
        <v>656.06</v>
      </c>
      <c r="P50" s="11">
        <f t="shared" si="17"/>
        <v>3.17</v>
      </c>
      <c r="Q50" s="184">
        <f t="shared" si="18"/>
        <v>776.1</v>
      </c>
      <c r="R50" s="274">
        <f t="shared" si="19"/>
        <v>776.1</v>
      </c>
    </row>
    <row r="51" spans="1:18" ht="21" x14ac:dyDescent="0.35">
      <c r="A51" s="125" t="str">
        <f>HYPERLINK(IF($L$1="เปิด", "#'รวมปกติ'!A49", "#C51"), IF($L$1="เปิด", "ไปรวมปกติ (A49)", ""))</f>
        <v/>
      </c>
      <c r="B51" s="126" t="str">
        <f>HYPERLINK(IF($L$1="เปิด", "#'รวมพิเศษ'!A49", "#D51"), IF($L$1="เปิด", "ไปรวมพิเศษ (A49)", ""))</f>
        <v/>
      </c>
      <c r="C51" s="7" t="s">
        <v>97</v>
      </c>
      <c r="D51" s="180">
        <f>HYPERLINK(IF($L$1="เปิด", "#'รวมปกติ'!" &amp; ADDRESS(ROW(รวมปกติ!C50), COLUMN(รวมปกติ!C50), 4), ""), รวมปกติ!C50)</f>
        <v>0</v>
      </c>
      <c r="E51" s="12">
        <f>HYPERLINK(IF($L$1="เปิด", "#'รวมปกติ'!" &amp; ADDRESS(ROW(รวมปกติ!D50), COLUMN(รวมปกติ!D50), 4), ""), รวมปกติ!D50)</f>
        <v>0</v>
      </c>
      <c r="F51" s="12">
        <f>HYPERLINK(IF($L$1="เปิด", "#'รวมปกติ'!" &amp; ADDRESS(ROW(รวมปกติ!E50), COLUMN(รวมปกติ!E50), 4), ""), รวมปกติ!E50)</f>
        <v>0</v>
      </c>
      <c r="G51" s="186">
        <f>HYPERLINK(IF($L$1="เปิด", "#'รวมปกติ'!" &amp; ADDRESS(ROW(รวมปกติ!F50), COLUMN(รวมปกติ!F50), 4), ""), รวมปกติ!F50)</f>
        <v>0</v>
      </c>
      <c r="H51" s="187"/>
      <c r="I51" s="12">
        <f>HYPERLINK(IF($L$1="เปิด", "#'รวมพิเศษ'!" &amp; ADDRESS(ROW(รวมพิเศษ!C48), COLUMN(รวมพิเศษ!C48), 4), ""), รวมพิเศษ!C48)</f>
        <v>0</v>
      </c>
      <c r="J51" s="12">
        <f>HYPERLINK(IF($L$1="เปิด", "#'รวมพิเศษ'!" &amp; ADDRESS(ROW(รวมพิเศษ!D48), COLUMN(รวมพิเศษ!D48), 4), ""), รวมพิเศษ!D48)</f>
        <v>0</v>
      </c>
      <c r="K51" s="12">
        <f>HYPERLINK(IF($L$1="เปิด", "#'รวมพิเศษ'!" &amp; ADDRESS(ROW(รวมพิเศษ!E48), COLUMN(รวมพิเศษ!E48), 4), ""), รวมพิเศษ!E48)</f>
        <v>0</v>
      </c>
      <c r="L51" s="186">
        <f>HYPERLINK(IF($L$1="เปิด", "#'รวมพิเศษ'!" &amp; ADDRESS(ROW(รวมพิเศษ!F48), COLUMN(รวมพิเศษ!F48), 4), ""), รวมพิเศษ!F48)</f>
        <v>0</v>
      </c>
      <c r="M51" s="187"/>
      <c r="N51" s="271">
        <f t="shared" si="15"/>
        <v>0</v>
      </c>
      <c r="O51" s="12">
        <f t="shared" si="16"/>
        <v>0</v>
      </c>
      <c r="P51" s="12">
        <f t="shared" si="17"/>
        <v>0</v>
      </c>
      <c r="Q51" s="186">
        <f t="shared" si="18"/>
        <v>0</v>
      </c>
      <c r="R51" s="273">
        <f t="shared" si="19"/>
        <v>0</v>
      </c>
    </row>
    <row r="52" spans="1:18" ht="21" x14ac:dyDescent="0.35">
      <c r="A52" s="9" t="s">
        <v>86</v>
      </c>
      <c r="B52" s="120"/>
      <c r="C52" s="8" t="s">
        <v>8</v>
      </c>
      <c r="D52" s="182">
        <f>HYPERLINK(IF($L$1="เปิด", "#'รวมปกติ'!" &amp; ADDRESS(ROW(รวมปกติ!C51), COLUMN(รวมปกติ!C51), 4), ""), รวมปกติ!C51)</f>
        <v>123.94</v>
      </c>
      <c r="E52" s="13">
        <f>HYPERLINK(IF($L$1="เปิด", "#'รวมปกติ'!" &amp; ADDRESS(ROW(รวมปกติ!D51), COLUMN(รวมปกติ!D51), 4), ""), รวมปกติ!D51)</f>
        <v>109.83</v>
      </c>
      <c r="F52" s="13">
        <f>HYPERLINK(IF($L$1="เปิด", "#'รวมปกติ'!" &amp; ADDRESS(ROW(รวมปกติ!E51), COLUMN(รวมปกติ!E51), 4), ""), รวมปกติ!E51)</f>
        <v>1.28</v>
      </c>
      <c r="G52" s="188">
        <f>HYPERLINK(IF($L$1="เปิด", "#'รวมปกติ'!" &amp; ADDRESS(ROW(รวมปกติ!F51), COLUMN(รวมปกติ!F51), 4), ""), รวมปกติ!F51)</f>
        <v>117.53</v>
      </c>
      <c r="H52" s="189">
        <f>HYPERLINK(IF($L$1="เปิด", "#'รวมปกติ'!" &amp; ADDRESS(ROW(รวมปกติ!G51), COLUMN(รวมปกติ!G51), 4), ""), รวมปกติ!G51)</f>
        <v>117.53</v>
      </c>
      <c r="I52" s="13">
        <f>HYPERLINK(IF($L$1="เปิด", "#'รวมพิเศษ'!" &amp; ADDRESS(ROW(รวมพิเศษ!C49), COLUMN(รวมพิเศษ!C49), 4), ""), รวมพิเศษ!C49)</f>
        <v>0</v>
      </c>
      <c r="J52" s="13">
        <f>HYPERLINK(IF($L$1="เปิด", "#'รวมพิเศษ'!" &amp; ADDRESS(ROW(รวมพิเศษ!D49), COLUMN(รวมพิเศษ!D49), 4), ""), รวมพิเศษ!D49)</f>
        <v>0</v>
      </c>
      <c r="K52" s="13">
        <f>HYPERLINK(IF($L$1="เปิด", "#'รวมพิเศษ'!" &amp; ADDRESS(ROW(รวมพิเศษ!E49), COLUMN(รวมพิเศษ!E49), 4), ""), รวมพิเศษ!E49)</f>
        <v>0</v>
      </c>
      <c r="L52" s="188">
        <f>HYPERLINK(IF($L$1="เปิด", "#'รวมพิเศษ'!" &amp; ADDRESS(ROW(รวมพิเศษ!F49), COLUMN(รวมพิเศษ!F49), 4), ""), รวมพิเศษ!F49)</f>
        <v>0</v>
      </c>
      <c r="M52" s="189">
        <f>HYPERLINK(IF($L$1="เปิด", "#'รวมพิเศษ'!" &amp; ADDRESS(ROW(รวมพิเศษ!G49), COLUMN(รวมพิเศษ!G49), 4), ""), รวมพิเศษ!G49)</f>
        <v>0</v>
      </c>
      <c r="N52" s="181">
        <f t="shared" si="15"/>
        <v>123.94</v>
      </c>
      <c r="O52" s="11">
        <f t="shared" si="16"/>
        <v>109.83</v>
      </c>
      <c r="P52" s="11">
        <f t="shared" si="17"/>
        <v>1.28</v>
      </c>
      <c r="Q52" s="184">
        <f t="shared" si="18"/>
        <v>117.53</v>
      </c>
      <c r="R52" s="274">
        <f t="shared" si="19"/>
        <v>117.53</v>
      </c>
    </row>
    <row r="53" spans="1:18" ht="21" x14ac:dyDescent="0.35">
      <c r="A53" s="125" t="str">
        <f>HYPERLINK(IF($L$1="เปิด", "#'รวมปกติ'!A51", "#C53"), IF($L$1="เปิด", "ไปรวมปกติ (A51)", ""))</f>
        <v/>
      </c>
      <c r="B53" s="126" t="str">
        <f>HYPERLINK(IF($L$1="เปิด", "#'รวมพิเศษ'!A51", "#D53"), IF($L$1="เปิด", "ไปรวมพิเศษ (A51)", ""))</f>
        <v/>
      </c>
      <c r="C53" s="7" t="s">
        <v>97</v>
      </c>
      <c r="D53" s="180">
        <f>HYPERLINK(IF($L$1="เปิด", "#'รวมปกติ'!" &amp; ADDRESS(ROW(รวมปกติ!C52), COLUMN(รวมปกติ!C52), 4), ""), รวมปกติ!C52)</f>
        <v>0</v>
      </c>
      <c r="E53" s="12">
        <f>HYPERLINK(IF($L$1="เปิด", "#'รวมปกติ'!" &amp; ADDRESS(ROW(รวมปกติ!D52), COLUMN(รวมปกติ!D52), 4), ""), รวมปกติ!D52)</f>
        <v>0</v>
      </c>
      <c r="F53" s="12">
        <f>HYPERLINK(IF($L$1="เปิด", "#'รวมปกติ'!" &amp; ADDRESS(ROW(รวมปกติ!E52), COLUMN(รวมปกติ!E52), 4), ""), รวมปกติ!E52)</f>
        <v>0</v>
      </c>
      <c r="G53" s="186">
        <f>HYPERLINK(IF($L$1="เปิด", "#'รวมปกติ'!" &amp; ADDRESS(ROW(รวมปกติ!F52), COLUMN(รวมปกติ!F52), 4), ""), รวมปกติ!F52)</f>
        <v>0</v>
      </c>
      <c r="H53" s="187"/>
      <c r="I53" s="12">
        <f>HYPERLINK(IF($L$1="เปิด", "#'รวมพิเศษ'!" &amp; ADDRESS(ROW(รวมพิเศษ!C50), COLUMN(รวมพิเศษ!C50), 4), ""), รวมพิเศษ!C50)</f>
        <v>0</v>
      </c>
      <c r="J53" s="12">
        <f>HYPERLINK(IF($L$1="เปิด", "#'รวมพิเศษ'!" &amp; ADDRESS(ROW(รวมพิเศษ!D50), COLUMN(รวมพิเศษ!D50), 4), ""), รวมพิเศษ!D50)</f>
        <v>0</v>
      </c>
      <c r="K53" s="12">
        <f>HYPERLINK(IF($L$1="เปิด", "#'รวมพิเศษ'!" &amp; ADDRESS(ROW(รวมพิเศษ!E50), COLUMN(รวมพิเศษ!E50), 4), ""), รวมพิเศษ!E50)</f>
        <v>0</v>
      </c>
      <c r="L53" s="186">
        <f>HYPERLINK(IF($L$1="เปิด", "#'รวมพิเศษ'!" &amp; ADDRESS(ROW(รวมพิเศษ!F50), COLUMN(รวมพิเศษ!F50), 4), ""), รวมพิเศษ!F50)</f>
        <v>0</v>
      </c>
      <c r="M53" s="187"/>
      <c r="N53" s="271">
        <f t="shared" si="15"/>
        <v>0</v>
      </c>
      <c r="O53" s="12">
        <f t="shared" si="16"/>
        <v>0</v>
      </c>
      <c r="P53" s="12">
        <f t="shared" si="17"/>
        <v>0</v>
      </c>
      <c r="Q53" s="186">
        <f t="shared" si="18"/>
        <v>0</v>
      </c>
      <c r="R53" s="273">
        <f t="shared" si="19"/>
        <v>0</v>
      </c>
    </row>
    <row r="54" spans="1:18" ht="21" x14ac:dyDescent="0.35">
      <c r="A54" s="9" t="s">
        <v>89</v>
      </c>
      <c r="B54" s="120"/>
      <c r="C54" s="8" t="s">
        <v>8</v>
      </c>
      <c r="D54" s="182">
        <f>HYPERLINK(IF($L$1="เปิด", "#'รวมปกติ'!" &amp; ADDRESS(ROW(รวมปกติ!C53), COLUMN(รวมปกติ!C53), 4), ""), รวมปกติ!C53)</f>
        <v>539.82000000000005</v>
      </c>
      <c r="E54" s="13">
        <f>HYPERLINK(IF($L$1="เปิด", "#'รวมปกติ'!" &amp; ADDRESS(ROW(รวมปกติ!D53), COLUMN(รวมปกติ!D53), 4), ""), รวมปกติ!D53)</f>
        <v>342.89</v>
      </c>
      <c r="F54" s="13">
        <f>HYPERLINK(IF($L$1="เปิด", "#'รวมปกติ'!" &amp; ADDRESS(ROW(รวมปกติ!E53), COLUMN(รวมปกติ!E53), 4), ""), รวมปกติ!E53)</f>
        <v>20.94</v>
      </c>
      <c r="G54" s="188">
        <f>HYPERLINK(IF($L$1="เปิด", "#'รวมปกติ'!" &amp; ADDRESS(ROW(รวมปกติ!F53), COLUMN(รวมปกติ!F53), 4), ""), รวมปกติ!F53)</f>
        <v>451.83</v>
      </c>
      <c r="H54" s="189">
        <f>HYPERLINK(IF($L$1="เปิด", "#'รวมปกติ'!" &amp; ADDRESS(ROW(รวมปกติ!G53), COLUMN(รวมปกติ!G53), 4), ""), รวมปกติ!G53)</f>
        <v>451.83</v>
      </c>
      <c r="I54" s="13">
        <f>HYPERLINK(IF($L$1="เปิด", "#'รวมพิเศษ'!" &amp; ADDRESS(ROW(รวมพิเศษ!C51), COLUMN(รวมพิเศษ!C51), 4), ""), รวมพิเศษ!C51)</f>
        <v>31.73</v>
      </c>
      <c r="J54" s="13">
        <f>HYPERLINK(IF($L$1="เปิด", "#'รวมพิเศษ'!" &amp; ADDRESS(ROW(รวมพิเศษ!D51), COLUMN(รวมพิเศษ!D51), 4), ""), รวมพิเศษ!D51)</f>
        <v>30.11</v>
      </c>
      <c r="K54" s="13">
        <f>HYPERLINK(IF($L$1="เปิด", "#'รวมพิเศษ'!" &amp; ADDRESS(ROW(รวมพิเศษ!E51), COLUMN(รวมพิเศษ!E51), 4), ""), รวมพิเศษ!E51)</f>
        <v>0</v>
      </c>
      <c r="L54" s="188">
        <f>HYPERLINK(IF($L$1="เปิด", "#'รวมพิเศษ'!" &amp; ADDRESS(ROW(รวมพิเศษ!F51), COLUMN(รวมพิเศษ!F51), 4), ""), รวมพิเศษ!F51)</f>
        <v>0</v>
      </c>
      <c r="M54" s="189">
        <f>HYPERLINK(IF($L$1="เปิด", "#'รวมพิเศษ'!" &amp; ADDRESS(ROW(รวมพิเศษ!G51), COLUMN(รวมพิเศษ!G51), 4), ""), รวมพิเศษ!G51)</f>
        <v>0</v>
      </c>
      <c r="N54" s="181">
        <f t="shared" si="15"/>
        <v>571.55000000000007</v>
      </c>
      <c r="O54" s="11">
        <f t="shared" si="16"/>
        <v>373</v>
      </c>
      <c r="P54" s="11">
        <f t="shared" si="17"/>
        <v>20.94</v>
      </c>
      <c r="Q54" s="184">
        <f t="shared" si="18"/>
        <v>451.83</v>
      </c>
      <c r="R54" s="274">
        <f t="shared" si="19"/>
        <v>451.83</v>
      </c>
    </row>
    <row r="55" spans="1:18" ht="21" x14ac:dyDescent="0.35">
      <c r="A55" s="125" t="str">
        <f>HYPERLINK(IF($L$1="เปิด", "#'รวมปกติ'!A53", "#C55"), IF($L$1="เปิด", "ไปรวมปกติ (A53)", ""))</f>
        <v/>
      </c>
      <c r="B55" s="126" t="str">
        <f>HYPERLINK(IF($L$1="เปิด", "#'รวมพิเศษ'!A53", "#D55"), IF($L$1="เปิด", "ไปรวมพิเศษ (A53)", ""))</f>
        <v/>
      </c>
      <c r="C55" s="7" t="s">
        <v>97</v>
      </c>
      <c r="D55" s="180">
        <f>HYPERLINK(IF($L$1="เปิด", "#'รวมปกติ'!" &amp; ADDRESS(ROW(รวมปกติ!C54), COLUMN(รวมปกติ!C54), 4), ""), รวมปกติ!C54)</f>
        <v>0</v>
      </c>
      <c r="E55" s="12">
        <f>HYPERLINK(IF($L$1="เปิด", "#'รวมปกติ'!" &amp; ADDRESS(ROW(รวมปกติ!D54), COLUMN(รวมปกติ!D54), 4), ""), รวมปกติ!D54)</f>
        <v>0</v>
      </c>
      <c r="F55" s="12">
        <f>HYPERLINK(IF($L$1="เปิด", "#'รวมปกติ'!" &amp; ADDRESS(ROW(รวมปกติ!E54), COLUMN(รวมปกติ!E54), 4), ""), รวมปกติ!E54)</f>
        <v>0</v>
      </c>
      <c r="G55" s="186">
        <f>HYPERLINK(IF($L$1="เปิด", "#'รวมปกติ'!" &amp; ADDRESS(ROW(รวมปกติ!F54), COLUMN(รวมปกติ!F54), 4), ""), รวมปกติ!F54)</f>
        <v>0</v>
      </c>
      <c r="H55" s="187"/>
      <c r="I55" s="12">
        <f>HYPERLINK(IF($L$1="เปิด", "#'รวมพิเศษ'!" &amp; ADDRESS(ROW(รวมพิเศษ!C52), COLUMN(รวมพิเศษ!C52), 4), ""), รวมพิเศษ!C52)</f>
        <v>0</v>
      </c>
      <c r="J55" s="12">
        <f>HYPERLINK(IF($L$1="เปิด", "#'รวมพิเศษ'!" &amp; ADDRESS(ROW(รวมพิเศษ!D52), COLUMN(รวมพิเศษ!D52), 4), ""), รวมพิเศษ!D52)</f>
        <v>0</v>
      </c>
      <c r="K55" s="12">
        <f>HYPERLINK(IF($L$1="เปิด", "#'รวมพิเศษ'!" &amp; ADDRESS(ROW(รวมพิเศษ!E52), COLUMN(รวมพิเศษ!E52), 4), ""), รวมพิเศษ!E52)</f>
        <v>0</v>
      </c>
      <c r="L55" s="186">
        <f>HYPERLINK(IF($L$1="เปิด", "#'รวมพิเศษ'!" &amp; ADDRESS(ROW(รวมพิเศษ!F52), COLUMN(รวมพิเศษ!F52), 4), ""), รวมพิเศษ!F52)</f>
        <v>0</v>
      </c>
      <c r="M55" s="187"/>
      <c r="N55" s="271">
        <f t="shared" si="15"/>
        <v>0</v>
      </c>
      <c r="O55" s="12">
        <f t="shared" si="16"/>
        <v>0</v>
      </c>
      <c r="P55" s="12">
        <f t="shared" si="17"/>
        <v>0</v>
      </c>
      <c r="Q55" s="186">
        <f t="shared" si="18"/>
        <v>0</v>
      </c>
      <c r="R55" s="273">
        <f t="shared" si="19"/>
        <v>0</v>
      </c>
    </row>
    <row r="56" spans="1:18" ht="21" x14ac:dyDescent="0.35">
      <c r="A56" s="9" t="s">
        <v>90</v>
      </c>
      <c r="B56" s="120"/>
      <c r="C56" s="8" t="s">
        <v>8</v>
      </c>
      <c r="D56" s="182">
        <f>HYPERLINK(IF($L$1="เปิด", "#'รวมปกติ'!" &amp; ADDRESS(ROW(รวมปกติ!C55), COLUMN(รวมปกติ!C55), 4), ""), รวมปกติ!C55)</f>
        <v>49</v>
      </c>
      <c r="E56" s="13">
        <f>HYPERLINK(IF($L$1="เปิด", "#'รวมปกติ'!" &amp; ADDRESS(ROW(รวมปกติ!D55), COLUMN(รวมปกติ!D55), 4), ""), รวมปกติ!D55)</f>
        <v>37.06</v>
      </c>
      <c r="F56" s="13">
        <f>HYPERLINK(IF($L$1="เปิด", "#'รวมปกติ'!" &amp; ADDRESS(ROW(รวมปกติ!E55), COLUMN(รวมปกติ!E55), 4), ""), รวมปกติ!E55)</f>
        <v>2</v>
      </c>
      <c r="G56" s="188">
        <f>HYPERLINK(IF($L$1="เปิด", "#'รวมปกติ'!" &amp; ADDRESS(ROW(รวมปกติ!F55), COLUMN(รวมปกติ!F55), 4), ""), รวมปกติ!F55)</f>
        <v>44.03</v>
      </c>
      <c r="H56" s="189">
        <f>HYPERLINK(IF($L$1="เปิด", "#'รวมปกติ'!" &amp; ADDRESS(ROW(รวมปกติ!G55), COLUMN(รวมปกติ!G55), 4), ""), รวมปกติ!G55)</f>
        <v>44.03</v>
      </c>
      <c r="I56" s="13">
        <f>HYPERLINK(IF($L$1="เปิด", "#'รวมพิเศษ'!" &amp; ADDRESS(ROW(รวมพิเศษ!C53), COLUMN(รวมพิเศษ!C53), 4), ""), รวมพิเศษ!C53)</f>
        <v>0</v>
      </c>
      <c r="J56" s="13">
        <f>HYPERLINK(IF($L$1="เปิด", "#'รวมพิเศษ'!" &amp; ADDRESS(ROW(รวมพิเศษ!D53), COLUMN(รวมพิเศษ!D53), 4), ""), รวมพิเศษ!D53)</f>
        <v>0</v>
      </c>
      <c r="K56" s="13">
        <f>HYPERLINK(IF($L$1="เปิด", "#'รวมพิเศษ'!" &amp; ADDRESS(ROW(รวมพิเศษ!E53), COLUMN(รวมพิเศษ!E53), 4), ""), รวมพิเศษ!E53)</f>
        <v>0</v>
      </c>
      <c r="L56" s="188">
        <f>HYPERLINK(IF($L$1="เปิด", "#'รวมพิเศษ'!" &amp; ADDRESS(ROW(รวมพิเศษ!F53), COLUMN(รวมพิเศษ!F53), 4), ""), รวมพิเศษ!F53)</f>
        <v>0</v>
      </c>
      <c r="M56" s="189">
        <f>HYPERLINK(IF($L$1="เปิด", "#'รวมพิเศษ'!" &amp; ADDRESS(ROW(รวมพิเศษ!G53), COLUMN(รวมพิเศษ!G53), 4), ""), รวมพิเศษ!G53)</f>
        <v>0</v>
      </c>
      <c r="N56" s="181">
        <f t="shared" si="15"/>
        <v>49</v>
      </c>
      <c r="O56" s="11">
        <f t="shared" si="16"/>
        <v>37.06</v>
      </c>
      <c r="P56" s="11">
        <f t="shared" si="17"/>
        <v>2</v>
      </c>
      <c r="Q56" s="184">
        <f t="shared" si="18"/>
        <v>44.03</v>
      </c>
      <c r="R56" s="274">
        <f t="shared" si="19"/>
        <v>44.03</v>
      </c>
    </row>
    <row r="57" spans="1:18" ht="21" x14ac:dyDescent="0.35">
      <c r="A57" s="125" t="str">
        <f>HYPERLINK(IF($L$1="เปิด", "#'รวมปกติ'!A55", "#C57"), IF($L$1="เปิด", "ไปรวมปกติ (A55)", ""))</f>
        <v/>
      </c>
      <c r="B57" s="126" t="str">
        <f>HYPERLINK(IF($L$1="เปิด", "#'รวมพิเศษ'!A55", "#D57"), IF($L$1="เปิด", "ไปรวมพิเศษ (A55)", ""))</f>
        <v/>
      </c>
      <c r="C57" s="7" t="s">
        <v>97</v>
      </c>
      <c r="D57" s="180">
        <f>HYPERLINK(IF($L$1="เปิด", "#'รวมปกติ'!" &amp; ADDRESS(ROW(รวมปกติ!C56), COLUMN(รวมปกติ!C56), 4), ""), รวมปกติ!C56)</f>
        <v>0</v>
      </c>
      <c r="E57" s="12">
        <f>HYPERLINK(IF($L$1="เปิด", "#'รวมปกติ'!" &amp; ADDRESS(ROW(รวมปกติ!D56), COLUMN(รวมปกติ!D56), 4), ""), รวมปกติ!D56)</f>
        <v>0</v>
      </c>
      <c r="F57" s="12">
        <f>HYPERLINK(IF($L$1="เปิด", "#'รวมปกติ'!" &amp; ADDRESS(ROW(รวมปกติ!E56), COLUMN(รวมปกติ!E56), 4), ""), รวมปกติ!E56)</f>
        <v>0</v>
      </c>
      <c r="G57" s="186">
        <f>HYPERLINK(IF($L$1="เปิด", "#'รวมปกติ'!" &amp; ADDRESS(ROW(รวมปกติ!F56), COLUMN(รวมปกติ!F56), 4), ""), รวมปกติ!F56)</f>
        <v>0</v>
      </c>
      <c r="H57" s="187"/>
      <c r="I57" s="12">
        <f>HYPERLINK(IF($L$1="เปิด", "#'รวมพิเศษ'!" &amp; ADDRESS(ROW(รวมพิเศษ!C54), COLUMN(รวมพิเศษ!C54), 4), ""), รวมพิเศษ!C54)</f>
        <v>0</v>
      </c>
      <c r="J57" s="12">
        <f>HYPERLINK(IF($L$1="เปิด", "#'รวมพิเศษ'!" &amp; ADDRESS(ROW(รวมพิเศษ!D54), COLUMN(รวมพิเศษ!D54), 4), ""), รวมพิเศษ!D54)</f>
        <v>0</v>
      </c>
      <c r="K57" s="12">
        <f>HYPERLINK(IF($L$1="เปิด", "#'รวมพิเศษ'!" &amp; ADDRESS(ROW(รวมพิเศษ!E54), COLUMN(รวมพิเศษ!E54), 4), ""), รวมพิเศษ!E54)</f>
        <v>0</v>
      </c>
      <c r="L57" s="186">
        <f>HYPERLINK(IF($L$1="เปิด", "#'รวมพิเศษ'!" &amp; ADDRESS(ROW(รวมพิเศษ!F54), COLUMN(รวมพิเศษ!F54), 4), ""), รวมพิเศษ!F54)</f>
        <v>0</v>
      </c>
      <c r="M57" s="187"/>
      <c r="N57" s="180">
        <f t="shared" si="15"/>
        <v>0</v>
      </c>
      <c r="O57" s="12">
        <f t="shared" si="16"/>
        <v>0</v>
      </c>
      <c r="P57" s="12">
        <f t="shared" si="17"/>
        <v>0</v>
      </c>
      <c r="Q57" s="186">
        <f t="shared" si="18"/>
        <v>0</v>
      </c>
      <c r="R57" s="273">
        <f t="shared" si="19"/>
        <v>0</v>
      </c>
    </row>
    <row r="58" spans="1:18" ht="21.75" thickBot="1" x14ac:dyDescent="0.4">
      <c r="A58" s="105" t="s">
        <v>92</v>
      </c>
      <c r="B58" s="112"/>
      <c r="C58" s="106"/>
      <c r="D58" s="107">
        <f t="shared" ref="D58:R58" si="20">SUM(D4:D57)</f>
        <v>23264.94</v>
      </c>
      <c r="E58" s="107">
        <f t="shared" si="20"/>
        <v>21562.135000000002</v>
      </c>
      <c r="F58" s="107">
        <f t="shared" si="20"/>
        <v>342.77000000000004</v>
      </c>
      <c r="G58" s="107">
        <f t="shared" si="20"/>
        <v>22585.025999999991</v>
      </c>
      <c r="H58" s="107">
        <f t="shared" si="20"/>
        <v>22585.025999999994</v>
      </c>
      <c r="I58" s="107">
        <f t="shared" si="20"/>
        <v>3201.8460000000005</v>
      </c>
      <c r="J58" s="107">
        <f t="shared" si="20"/>
        <v>4101.4849999999997</v>
      </c>
      <c r="K58" s="107">
        <f t="shared" si="20"/>
        <v>676.38499999999988</v>
      </c>
      <c r="L58" s="107">
        <f t="shared" si="20"/>
        <v>3802.5480000000016</v>
      </c>
      <c r="M58" s="107">
        <f t="shared" si="20"/>
        <v>3802.5480000000002</v>
      </c>
      <c r="N58" s="107">
        <f t="shared" si="20"/>
        <v>26466.785999999989</v>
      </c>
      <c r="O58" s="107">
        <f t="shared" si="20"/>
        <v>25663.62</v>
      </c>
      <c r="P58" s="107">
        <f t="shared" si="20"/>
        <v>1019.1549999999997</v>
      </c>
      <c r="Q58" s="107">
        <f t="shared" si="20"/>
        <v>26387.57399999999</v>
      </c>
      <c r="R58" s="275">
        <f t="shared" si="20"/>
        <v>26387.573999999993</v>
      </c>
    </row>
  </sheetData>
  <mergeCells count="2">
    <mergeCell ref="C2:C3"/>
    <mergeCell ref="A2:B3"/>
  </mergeCells>
  <conditionalFormatting sqref="A5:B5 A7:B7 A11:B11 A13:B13 A15:B15 A17:B17 A19:B19 A21:B21 A23:B23 A25:B25 A27:B27 A29:B29 A31:B31 A33:B33 A35:B35 A37:B37 A39:B39 A41:B41 A43:B43 A45:B45 A47:B47 A49:B49 A51:B51 A53:B53 A55:B55 A57:B57 A9:B9">
    <cfRule type="expression" dxfId="3" priority="5">
      <formula>$L$1="เปิด"</formula>
    </cfRule>
  </conditionalFormatting>
  <conditionalFormatting sqref="D4:R57">
    <cfRule type="expression" dxfId="2" priority="1">
      <formula>$L$1="เปิด"</formula>
    </cfRule>
  </conditionalFormatting>
  <conditionalFormatting sqref="D4:R58">
    <cfRule type="expression" dxfId="1" priority="4">
      <formula>ABS(D4-INT(D4))&lt;0.01</formula>
    </cfRule>
  </conditionalFormatting>
  <conditionalFormatting sqref="L1">
    <cfRule type="expression" dxfId="0" priority="6">
      <formula>$L$1="ปิด"</formula>
    </cfRule>
  </conditionalFormatting>
  <dataValidations disablePrompts="1" count="1">
    <dataValidation type="list" allowBlank="1" showInputMessage="1" showErrorMessage="1" sqref="L1" xr:uid="{1247DFA2-6244-4D40-B14A-E3FA51325AA9}">
      <formula1>"เปิด,ปิด"</formula1>
    </dataValidation>
  </dataValidations>
  <pageMargins left="0.25" right="0.25" top="0.24" bottom="0.17" header="0" footer="0"/>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ปกติ</vt:lpstr>
      <vt:lpstr>พิเศษ</vt:lpstr>
      <vt:lpstr>รวมปกติ</vt:lpstr>
      <vt:lpstr>รวมพิเศษ</vt:lpstr>
      <vt:lpstr>รวมปกติ+พิเศษ</vt:lpstr>
      <vt:lpstr>ค้นหาคณะ</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Buu-Center</dc:creator>
  <cp:keywords/>
  <dc:description/>
  <cp:lastModifiedBy>Phubate Sripoomngen</cp:lastModifiedBy>
  <cp:revision/>
  <cp:lastPrinted>2026-01-21T07:55:01Z</cp:lastPrinted>
  <dcterms:created xsi:type="dcterms:W3CDTF">2019-11-04T08:11:43Z</dcterms:created>
  <dcterms:modified xsi:type="dcterms:W3CDTF">2026-08-11T07:38:17Z</dcterms:modified>
  <cp:category/>
  <cp:contentStatus/>
</cp:coreProperties>
</file>