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phubate\Backup\Download\"/>
    </mc:Choice>
  </mc:AlternateContent>
  <xr:revisionPtr revIDLastSave="0" documentId="13_ncr:1_{46CCC7A0-A03B-4DA8-AA50-F60CC3E4007C}" xr6:coauthVersionLast="47" xr6:coauthVersionMax="47" xr10:uidLastSave="{00000000-0000-0000-0000-000000000000}"/>
  <bookViews>
    <workbookView xWindow="-120" yWindow="-120" windowWidth="21840" windowHeight="13020" xr2:uid="{00000000-000D-0000-FFFF-FFFF00000000}"/>
  </bookViews>
  <sheets>
    <sheet name="ปกติ" sheetId="1" r:id="rId1"/>
    <sheet name="พิเศษ" sheetId="2" r:id="rId2"/>
    <sheet name="รวมปกติ" sheetId="3" r:id="rId3"/>
    <sheet name="รวมพิเศษ" sheetId="4" r:id="rId4"/>
    <sheet name="รวมปกติ+พิเศษ" sheetId="5" r:id="rId5"/>
  </sheets>
  <definedNames>
    <definedName name="_xlnm._FilterDatabase" localSheetId="0" hidden="1">ปกติ!$A$2:$R$3</definedName>
    <definedName name="ค้นหาคณะ">ปกติ!$A$4,ปกติ!$A$8,ปกติ!$A$12,ปกติ!$A$16,ปกติ!$A$47,ปกติ!$A$51,ปกติ!$A$55,ปกติ!$A$92,ปกติ!$A$105,ปกติ!$A$109,ปกติ!$A$113,ปกติ!$A$147,ปกติ!$A$151,ปกติ!$A$173,ปกติ!$A$177,ปกติ!$A$210,ปกติ!$A$236,ปกติ!$A$240,ปกติ!$A$244,ปกติ!$A$254,ปกติ!$A$258,ปกติ!$A$262,ปกติ!$A$271,ปกติ!$A$275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4" l="1"/>
  <c r="I53" i="5" s="1"/>
  <c r="C51" i="4"/>
  <c r="I52" i="5" s="1"/>
  <c r="F43" i="4"/>
  <c r="L44" i="5" s="1"/>
  <c r="F44" i="4"/>
  <c r="L45" i="5" s="1"/>
  <c r="F49" i="4"/>
  <c r="L50" i="5" s="1"/>
  <c r="F50" i="4"/>
  <c r="L51" i="5" s="1"/>
  <c r="C211" i="1"/>
  <c r="C152" i="1"/>
  <c r="C138" i="1"/>
  <c r="C96" i="1"/>
  <c r="C17" i="1"/>
  <c r="O247" i="1" l="1"/>
  <c r="O246" i="1"/>
  <c r="O245" i="1"/>
  <c r="O243" i="1"/>
  <c r="O242" i="1"/>
  <c r="O241" i="1"/>
  <c r="O239" i="1"/>
  <c r="O238" i="1"/>
  <c r="O237" i="1"/>
  <c r="O232" i="1"/>
  <c r="O231" i="1"/>
  <c r="O230" i="1"/>
  <c r="O229" i="1"/>
  <c r="O228" i="1"/>
  <c r="O227" i="1"/>
  <c r="O226" i="1"/>
  <c r="O225" i="1"/>
  <c r="O224" i="1"/>
  <c r="O223" i="1"/>
  <c r="O222" i="1"/>
  <c r="O221" i="1"/>
  <c r="O220" i="1"/>
  <c r="O219" i="1"/>
  <c r="O218" i="1"/>
  <c r="O217" i="1"/>
  <c r="O216" i="1"/>
  <c r="O215" i="1"/>
  <c r="O213" i="1"/>
  <c r="O212" i="1"/>
  <c r="O211"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6" i="1"/>
  <c r="O175" i="1"/>
  <c r="O174" i="1"/>
  <c r="O169" i="1"/>
  <c r="O168" i="1"/>
  <c r="O167" i="1"/>
  <c r="O166" i="1"/>
  <c r="O165" i="1"/>
  <c r="O164" i="1"/>
  <c r="O163" i="1"/>
  <c r="O162" i="1"/>
  <c r="O161" i="1"/>
  <c r="O160" i="1"/>
  <c r="O159" i="1"/>
  <c r="O158" i="1"/>
  <c r="O157" i="1"/>
  <c r="O156" i="1"/>
  <c r="O155" i="1"/>
  <c r="O154" i="1"/>
  <c r="O153" i="1"/>
  <c r="O150" i="1"/>
  <c r="O149" i="1"/>
  <c r="O148" i="1"/>
  <c r="O143" i="1"/>
  <c r="O142" i="1"/>
  <c r="O141" i="1"/>
  <c r="O140" i="1"/>
  <c r="O139" i="1"/>
  <c r="O137" i="1"/>
  <c r="O136" i="1"/>
  <c r="O135" i="1"/>
  <c r="O134" i="1"/>
  <c r="O133" i="1"/>
  <c r="O132" i="1"/>
  <c r="O131" i="1"/>
  <c r="O130" i="1"/>
  <c r="O129" i="1"/>
  <c r="O128" i="1"/>
  <c r="O127" i="1"/>
  <c r="O126" i="1"/>
  <c r="O125" i="1"/>
  <c r="O124" i="1"/>
  <c r="O123" i="1"/>
  <c r="O122" i="1"/>
  <c r="O121" i="1"/>
  <c r="O120" i="1"/>
  <c r="O119" i="1"/>
  <c r="O118" i="1"/>
  <c r="O117" i="1"/>
  <c r="O116" i="1"/>
  <c r="O115" i="1"/>
  <c r="O114" i="1"/>
  <c r="O112" i="1"/>
  <c r="O111" i="1"/>
  <c r="O110" i="1"/>
  <c r="O108" i="1"/>
  <c r="O107" i="1"/>
  <c r="O106" i="1"/>
  <c r="O101" i="1"/>
  <c r="O100" i="1"/>
  <c r="O99" i="1"/>
  <c r="O98" i="1"/>
  <c r="O97" i="1"/>
  <c r="O96" i="1"/>
  <c r="O95" i="1"/>
  <c r="O94" i="1"/>
  <c r="O93"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4" i="1"/>
  <c r="O53" i="1"/>
  <c r="O52" i="1"/>
  <c r="O50" i="1"/>
  <c r="O49" i="1"/>
  <c r="O48" i="1"/>
  <c r="O43" i="1"/>
  <c r="O42" i="1"/>
  <c r="O41" i="1"/>
  <c r="O40" i="1"/>
  <c r="O39" i="1"/>
  <c r="O38" i="1"/>
  <c r="O37" i="1"/>
  <c r="O36" i="1"/>
  <c r="O35" i="1"/>
  <c r="O34" i="1"/>
  <c r="O33" i="1"/>
  <c r="O32" i="1"/>
  <c r="O31" i="1"/>
  <c r="O30" i="1"/>
  <c r="O29" i="1"/>
  <c r="O28" i="1"/>
  <c r="O27" i="1"/>
  <c r="O26" i="1"/>
  <c r="O25" i="1"/>
  <c r="O24" i="1"/>
  <c r="O23" i="1"/>
  <c r="O22" i="1"/>
  <c r="O21" i="1"/>
  <c r="O20" i="1"/>
  <c r="O19" i="1"/>
  <c r="O18" i="1"/>
  <c r="O15" i="1"/>
  <c r="O14" i="1"/>
  <c r="O13" i="1"/>
  <c r="O11" i="1"/>
  <c r="O10" i="1"/>
  <c r="O9" i="1"/>
  <c r="O7" i="1"/>
  <c r="O6" i="1"/>
  <c r="O5" i="1"/>
  <c r="C283" i="1"/>
  <c r="K281" i="1"/>
  <c r="K280" i="1"/>
  <c r="K279" i="1"/>
  <c r="G281" i="1"/>
  <c r="G280" i="1"/>
  <c r="C281" i="1"/>
  <c r="C280" i="1"/>
  <c r="C279" i="1"/>
  <c r="K268" i="1"/>
  <c r="K267" i="1"/>
  <c r="K266" i="1"/>
  <c r="G268" i="1"/>
  <c r="G267" i="1"/>
  <c r="G266" i="1"/>
  <c r="H260" i="1"/>
  <c r="H264" i="1"/>
  <c r="C268" i="1"/>
  <c r="C267" i="1"/>
  <c r="C266" i="1"/>
  <c r="G249" i="1"/>
  <c r="G283" i="1" s="1"/>
  <c r="C251" i="1"/>
  <c r="C285" i="1" s="1"/>
  <c r="C248" i="1"/>
  <c r="K235" i="1"/>
  <c r="K234" i="1"/>
  <c r="K233" i="1"/>
  <c r="G235" i="1"/>
  <c r="G234" i="1"/>
  <c r="G250" i="1" s="1"/>
  <c r="G284" i="1" s="1"/>
  <c r="G233" i="1"/>
  <c r="C235" i="1"/>
  <c r="C234" i="1"/>
  <c r="C233" i="1"/>
  <c r="O249" i="1"/>
  <c r="O283" i="1" s="1"/>
  <c r="K209" i="1"/>
  <c r="K208" i="1"/>
  <c r="K207" i="1"/>
  <c r="K249" i="1" s="1"/>
  <c r="K283" i="1" s="1"/>
  <c r="K206" i="1"/>
  <c r="G209" i="1"/>
  <c r="G208" i="1"/>
  <c r="G207" i="1"/>
  <c r="G206" i="1"/>
  <c r="C209" i="1"/>
  <c r="C208" i="1"/>
  <c r="C207" i="1"/>
  <c r="C249" i="1" s="1"/>
  <c r="C206" i="1"/>
  <c r="K172" i="1"/>
  <c r="K171" i="1"/>
  <c r="G172" i="1"/>
  <c r="G171" i="1"/>
  <c r="C172" i="1"/>
  <c r="C171" i="1"/>
  <c r="C170" i="1"/>
  <c r="K146" i="1"/>
  <c r="K145" i="1"/>
  <c r="K144" i="1"/>
  <c r="G146" i="1"/>
  <c r="G145" i="1"/>
  <c r="C146" i="1"/>
  <c r="C145" i="1"/>
  <c r="C144" i="1"/>
  <c r="G104" i="1"/>
  <c r="G103" i="1"/>
  <c r="G102" i="1"/>
  <c r="C104" i="1"/>
  <c r="C103" i="1"/>
  <c r="C102" i="1"/>
  <c r="K91" i="1"/>
  <c r="K90" i="1"/>
  <c r="K89" i="1"/>
  <c r="G91" i="1"/>
  <c r="G90" i="1"/>
  <c r="G89" i="1"/>
  <c r="C91" i="1"/>
  <c r="C90" i="1"/>
  <c r="C250" i="1" s="1"/>
  <c r="C284" i="1" s="1"/>
  <c r="C89" i="1"/>
  <c r="K46" i="1"/>
  <c r="L46" i="1" s="1"/>
  <c r="M46" i="1" s="1"/>
  <c r="K45" i="1"/>
  <c r="L45" i="1" s="1"/>
  <c r="M45" i="1" s="1"/>
  <c r="E10" i="3" s="1"/>
  <c r="F11" i="5" s="1"/>
  <c r="K44" i="1"/>
  <c r="L44" i="1" s="1"/>
  <c r="E9" i="3" s="1"/>
  <c r="F10" i="5" s="1"/>
  <c r="G46" i="1"/>
  <c r="H46" i="1" s="1"/>
  <c r="I46" i="1" s="1"/>
  <c r="G45" i="1"/>
  <c r="H45" i="1" s="1"/>
  <c r="I45" i="1" s="1"/>
  <c r="D10" i="3" s="1"/>
  <c r="E11" i="5" s="1"/>
  <c r="C46" i="1"/>
  <c r="D46" i="1" s="1"/>
  <c r="E46" i="1" s="1"/>
  <c r="C45" i="1"/>
  <c r="D45" i="1" s="1"/>
  <c r="E45" i="1" s="1"/>
  <c r="C10" i="3" s="1"/>
  <c r="D11" i="5" s="1"/>
  <c r="C44" i="1"/>
  <c r="D44" i="1" s="1"/>
  <c r="C9" i="3" s="1"/>
  <c r="D10" i="5" s="1"/>
  <c r="D272" i="2"/>
  <c r="C49" i="4" s="1"/>
  <c r="I50" i="5" s="1"/>
  <c r="D273" i="2"/>
  <c r="D274" i="2"/>
  <c r="K281" i="2"/>
  <c r="K285" i="2" s="1"/>
  <c r="K280" i="2"/>
  <c r="K284" i="2" s="1"/>
  <c r="K279" i="2"/>
  <c r="K282" i="2" s="1"/>
  <c r="G281" i="2"/>
  <c r="G285" i="2" s="1"/>
  <c r="G280" i="2"/>
  <c r="G279" i="2"/>
  <c r="K249" i="2"/>
  <c r="K283" i="2" s="1"/>
  <c r="G249" i="2"/>
  <c r="G283" i="2" s="1"/>
  <c r="C249" i="2"/>
  <c r="C283" i="2" s="1"/>
  <c r="O278" i="2"/>
  <c r="O277" i="2"/>
  <c r="O276" i="2"/>
  <c r="O275" i="2"/>
  <c r="O274" i="2"/>
  <c r="O281" i="2" s="1"/>
  <c r="O273" i="2"/>
  <c r="O280" i="2" s="1"/>
  <c r="O272" i="2"/>
  <c r="K268" i="2"/>
  <c r="K267" i="2"/>
  <c r="K266" i="2"/>
  <c r="G268" i="2"/>
  <c r="G267" i="2"/>
  <c r="G284" i="2" s="1"/>
  <c r="G266" i="2"/>
  <c r="O265" i="2"/>
  <c r="O264" i="2"/>
  <c r="O263" i="2"/>
  <c r="O262" i="2"/>
  <c r="O261" i="2"/>
  <c r="O260" i="2"/>
  <c r="O259" i="2"/>
  <c r="O258" i="2"/>
  <c r="O257" i="2"/>
  <c r="O256" i="2"/>
  <c r="O255" i="2"/>
  <c r="O7" i="2"/>
  <c r="O6" i="2"/>
  <c r="O5" i="2"/>
  <c r="O15" i="2"/>
  <c r="O14" i="2"/>
  <c r="O13" i="2"/>
  <c r="O12" i="2"/>
  <c r="O11" i="2"/>
  <c r="O10" i="2"/>
  <c r="O43" i="2"/>
  <c r="O42" i="2"/>
  <c r="O41" i="2"/>
  <c r="O40" i="2"/>
  <c r="O39" i="2"/>
  <c r="O38" i="2"/>
  <c r="O37" i="2"/>
  <c r="O36" i="2"/>
  <c r="O35" i="2"/>
  <c r="O34" i="2"/>
  <c r="O33" i="2"/>
  <c r="O32" i="2"/>
  <c r="O31" i="2"/>
  <c r="O30" i="2"/>
  <c r="O29" i="2"/>
  <c r="O28" i="2"/>
  <c r="O27" i="2"/>
  <c r="O26" i="2"/>
  <c r="O25" i="2"/>
  <c r="O24" i="2"/>
  <c r="O23" i="2"/>
  <c r="O22" i="2"/>
  <c r="O21" i="2"/>
  <c r="O20" i="2"/>
  <c r="O19" i="2"/>
  <c r="O18" i="2"/>
  <c r="O17" i="2"/>
  <c r="O50" i="2"/>
  <c r="O49" i="2"/>
  <c r="O48" i="2"/>
  <c r="O54" i="2"/>
  <c r="O53" i="2"/>
  <c r="O52" i="2"/>
  <c r="O88" i="2"/>
  <c r="O87" i="2"/>
  <c r="O86" i="2"/>
  <c r="O85" i="2"/>
  <c r="O84" i="2"/>
  <c r="O83" i="2"/>
  <c r="O82" i="2"/>
  <c r="O81" i="2"/>
  <c r="O80" i="2"/>
  <c r="O79" i="2"/>
  <c r="O78" i="2"/>
  <c r="O77" i="2"/>
  <c r="O76" i="2"/>
  <c r="O75" i="2"/>
  <c r="O74" i="2"/>
  <c r="O73" i="2"/>
  <c r="O72" i="2"/>
  <c r="O71" i="2"/>
  <c r="O70" i="2"/>
  <c r="O69" i="2"/>
  <c r="O68" i="2"/>
  <c r="O67" i="2"/>
  <c r="O66" i="2"/>
  <c r="O65" i="2"/>
  <c r="O64" i="2"/>
  <c r="O63" i="2"/>
  <c r="O62" i="2"/>
  <c r="O61" i="2"/>
  <c r="O60" i="2"/>
  <c r="O59" i="2"/>
  <c r="O58" i="2"/>
  <c r="O57" i="2"/>
  <c r="O56" i="2"/>
  <c r="O101" i="2"/>
  <c r="O100" i="2"/>
  <c r="O99" i="2"/>
  <c r="O98" i="2"/>
  <c r="O97" i="2"/>
  <c r="O96" i="2"/>
  <c r="O95" i="2"/>
  <c r="O94" i="2"/>
  <c r="O93" i="2"/>
  <c r="O108" i="2"/>
  <c r="O107" i="2"/>
  <c r="O106" i="2"/>
  <c r="O112" i="2"/>
  <c r="O111" i="2"/>
  <c r="O110" i="2"/>
  <c r="O143" i="2"/>
  <c r="O142" i="2"/>
  <c r="O141" i="2"/>
  <c r="O140" i="2"/>
  <c r="O139" i="2"/>
  <c r="O138" i="2"/>
  <c r="O137" i="2"/>
  <c r="O136" i="2"/>
  <c r="O135" i="2"/>
  <c r="O134" i="2"/>
  <c r="O133" i="2"/>
  <c r="O132" i="2"/>
  <c r="O131" i="2"/>
  <c r="O130" i="2"/>
  <c r="O129" i="2"/>
  <c r="O128" i="2"/>
  <c r="O127" i="2"/>
  <c r="O126" i="2"/>
  <c r="O125" i="2"/>
  <c r="O124" i="2"/>
  <c r="O123" i="2"/>
  <c r="O122" i="2"/>
  <c r="O121" i="2"/>
  <c r="O120" i="2"/>
  <c r="O119" i="2"/>
  <c r="O118" i="2"/>
  <c r="O117" i="2"/>
  <c r="O116" i="2"/>
  <c r="O115" i="2"/>
  <c r="O114" i="2"/>
  <c r="O150" i="2"/>
  <c r="O149" i="2"/>
  <c r="O148" i="2"/>
  <c r="O160" i="2"/>
  <c r="O159" i="2"/>
  <c r="O158" i="2"/>
  <c r="O157" i="2"/>
  <c r="O156" i="2"/>
  <c r="O155" i="2"/>
  <c r="O154" i="2"/>
  <c r="O153" i="2"/>
  <c r="O152" i="2"/>
  <c r="O169" i="2"/>
  <c r="O168" i="2"/>
  <c r="O167" i="2"/>
  <c r="O166" i="2"/>
  <c r="O165" i="2"/>
  <c r="O164" i="2"/>
  <c r="O163" i="2"/>
  <c r="O162" i="2"/>
  <c r="O161" i="2"/>
  <c r="O176" i="2"/>
  <c r="O175" i="2"/>
  <c r="O174" i="2"/>
  <c r="O205" i="2"/>
  <c r="O204" i="2"/>
  <c r="O203" i="2"/>
  <c r="O202" i="2"/>
  <c r="O201" i="2"/>
  <c r="O200" i="2"/>
  <c r="O199" i="2"/>
  <c r="O198" i="2"/>
  <c r="O197" i="2"/>
  <c r="O196" i="2"/>
  <c r="O195" i="2"/>
  <c r="O194" i="2"/>
  <c r="O193" i="2"/>
  <c r="O192" i="2"/>
  <c r="O191" i="2"/>
  <c r="O190" i="2"/>
  <c r="O189" i="2"/>
  <c r="O188" i="2"/>
  <c r="O187" i="2"/>
  <c r="O186" i="2"/>
  <c r="O185" i="2"/>
  <c r="O184" i="2"/>
  <c r="O183" i="2"/>
  <c r="O182" i="2"/>
  <c r="O181" i="2"/>
  <c r="O180" i="2"/>
  <c r="O179" i="2"/>
  <c r="O178" i="2"/>
  <c r="O213" i="2"/>
  <c r="O212" i="2"/>
  <c r="O211" i="2"/>
  <c r="O232" i="2"/>
  <c r="O231" i="2"/>
  <c r="O230" i="2"/>
  <c r="O229" i="2"/>
  <c r="O228" i="2"/>
  <c r="O227" i="2"/>
  <c r="O226" i="2"/>
  <c r="O225" i="2"/>
  <c r="O224" i="2"/>
  <c r="O223" i="2"/>
  <c r="O222" i="2"/>
  <c r="O221" i="2"/>
  <c r="O220" i="2"/>
  <c r="O219" i="2"/>
  <c r="O218" i="2"/>
  <c r="O217" i="2"/>
  <c r="O216" i="2"/>
  <c r="O215" i="2"/>
  <c r="O239" i="2"/>
  <c r="O238" i="2"/>
  <c r="O237" i="2"/>
  <c r="O243" i="2"/>
  <c r="P243" i="2" s="1"/>
  <c r="Q243" i="2" s="1"/>
  <c r="F42" i="4" s="1"/>
  <c r="L43" i="5" s="1"/>
  <c r="O242" i="2"/>
  <c r="P242" i="2" s="1"/>
  <c r="F41" i="4" s="1"/>
  <c r="L42" i="5" s="1"/>
  <c r="O241" i="2"/>
  <c r="P241" i="2" s="1"/>
  <c r="O247" i="2"/>
  <c r="O246" i="2"/>
  <c r="O245" i="2"/>
  <c r="K90" i="2"/>
  <c r="G90" i="2"/>
  <c r="C90" i="2"/>
  <c r="K251" i="2"/>
  <c r="K250" i="2"/>
  <c r="K248" i="2"/>
  <c r="C251" i="2"/>
  <c r="C250" i="2"/>
  <c r="C248" i="2"/>
  <c r="G250" i="2"/>
  <c r="G251" i="2"/>
  <c r="C268" i="2"/>
  <c r="C267" i="2"/>
  <c r="C266" i="2"/>
  <c r="C281" i="2"/>
  <c r="C280" i="2"/>
  <c r="C279" i="2"/>
  <c r="C282" i="2" s="1"/>
  <c r="K209" i="2"/>
  <c r="K208" i="2"/>
  <c r="K207" i="2"/>
  <c r="K206" i="2"/>
  <c r="C209" i="2"/>
  <c r="C208" i="2"/>
  <c r="C207" i="2"/>
  <c r="C206" i="2"/>
  <c r="G209" i="2"/>
  <c r="G208" i="2"/>
  <c r="G207" i="2"/>
  <c r="G206" i="2"/>
  <c r="K172" i="2"/>
  <c r="K171" i="2"/>
  <c r="K170" i="2"/>
  <c r="C172" i="2"/>
  <c r="C171" i="2"/>
  <c r="C170" i="2"/>
  <c r="G172" i="2"/>
  <c r="G171" i="2"/>
  <c r="G170" i="2"/>
  <c r="K146" i="2"/>
  <c r="K145" i="2"/>
  <c r="K144" i="2"/>
  <c r="C146" i="2"/>
  <c r="C145" i="2"/>
  <c r="C144" i="2"/>
  <c r="G146" i="2"/>
  <c r="G145" i="2"/>
  <c r="G144" i="2"/>
  <c r="K104" i="2"/>
  <c r="K103" i="2"/>
  <c r="K102" i="2"/>
  <c r="C104" i="2"/>
  <c r="C103" i="2"/>
  <c r="C102" i="2"/>
  <c r="G104" i="2"/>
  <c r="G103" i="2"/>
  <c r="G102" i="2"/>
  <c r="K91" i="2"/>
  <c r="K89" i="2"/>
  <c r="C91" i="2"/>
  <c r="C89" i="2"/>
  <c r="G91" i="2"/>
  <c r="G89" i="2"/>
  <c r="K46" i="2"/>
  <c r="K45" i="2"/>
  <c r="K44" i="2"/>
  <c r="C46" i="2"/>
  <c r="C45" i="2"/>
  <c r="O45" i="2" s="1"/>
  <c r="C44" i="2"/>
  <c r="O44" i="2" s="1"/>
  <c r="G46" i="2"/>
  <c r="G45" i="2"/>
  <c r="G44" i="2"/>
  <c r="K235" i="2"/>
  <c r="K234" i="2"/>
  <c r="K233" i="2"/>
  <c r="C235" i="2"/>
  <c r="C234" i="2"/>
  <c r="C233" i="2"/>
  <c r="G235" i="2"/>
  <c r="G234" i="2"/>
  <c r="G233" i="2"/>
  <c r="D241" i="2"/>
  <c r="C39" i="4" s="1"/>
  <c r="I40" i="5" s="1"/>
  <c r="H241" i="2"/>
  <c r="D39" i="4" s="1"/>
  <c r="L241" i="2"/>
  <c r="E39" i="4" s="1"/>
  <c r="D242" i="2"/>
  <c r="H242" i="2"/>
  <c r="L242" i="2"/>
  <c r="D243" i="2"/>
  <c r="E243" i="2"/>
  <c r="H243" i="2"/>
  <c r="I243" i="2" s="1"/>
  <c r="L243" i="2"/>
  <c r="M243" i="2" s="1"/>
  <c r="A3" i="3"/>
  <c r="A4" i="3"/>
  <c r="A5" i="3"/>
  <c r="A7" i="3"/>
  <c r="A9" i="3"/>
  <c r="A11" i="3"/>
  <c r="A13" i="3"/>
  <c r="A15" i="3"/>
  <c r="A17" i="3"/>
  <c r="A19" i="3"/>
  <c r="A21" i="3"/>
  <c r="A23" i="3"/>
  <c r="A25" i="3"/>
  <c r="A27" i="3"/>
  <c r="A29" i="3"/>
  <c r="A31" i="3"/>
  <c r="A33" i="3"/>
  <c r="A35" i="3"/>
  <c r="A37" i="3"/>
  <c r="A39" i="3"/>
  <c r="A41" i="3"/>
  <c r="A43" i="3"/>
  <c r="A45" i="3"/>
  <c r="A47" i="3"/>
  <c r="A49" i="3"/>
  <c r="A51" i="3"/>
  <c r="A3" i="4"/>
  <c r="A4" i="4"/>
  <c r="A5" i="4"/>
  <c r="A7" i="4"/>
  <c r="A9" i="4"/>
  <c r="A11" i="4"/>
  <c r="A13" i="4"/>
  <c r="A15" i="4"/>
  <c r="A17" i="4"/>
  <c r="A19" i="4"/>
  <c r="A21" i="4"/>
  <c r="A23" i="4"/>
  <c r="A25" i="4"/>
  <c r="A27" i="4"/>
  <c r="A29" i="4"/>
  <c r="A31" i="4"/>
  <c r="A33" i="4"/>
  <c r="A35" i="4"/>
  <c r="A37" i="4"/>
  <c r="A39" i="4"/>
  <c r="A41" i="4"/>
  <c r="A43" i="4"/>
  <c r="A45" i="4"/>
  <c r="A47" i="4"/>
  <c r="A49" i="4"/>
  <c r="A51" i="4"/>
  <c r="H1" i="1"/>
  <c r="B53" i="5"/>
  <c r="A53" i="5"/>
  <c r="B51" i="5"/>
  <c r="A51" i="5"/>
  <c r="B49" i="5"/>
  <c r="A49" i="5"/>
  <c r="B47" i="5"/>
  <c r="A47" i="5"/>
  <c r="B45" i="5"/>
  <c r="A45" i="5"/>
  <c r="B43" i="5"/>
  <c r="A43" i="5"/>
  <c r="B41" i="5"/>
  <c r="A41" i="5"/>
  <c r="B39" i="5"/>
  <c r="A39" i="5"/>
  <c r="B37" i="5"/>
  <c r="A37" i="5"/>
  <c r="B35" i="5"/>
  <c r="A35" i="5"/>
  <c r="B33" i="5"/>
  <c r="A33" i="5"/>
  <c r="B31" i="5"/>
  <c r="A31" i="5"/>
  <c r="B29" i="5"/>
  <c r="A29" i="5"/>
  <c r="B27" i="5"/>
  <c r="A27" i="5"/>
  <c r="B25" i="5"/>
  <c r="A25" i="5"/>
  <c r="B23" i="5"/>
  <c r="A23" i="5"/>
  <c r="B21" i="5"/>
  <c r="A21" i="5"/>
  <c r="B19" i="5"/>
  <c r="A19" i="5"/>
  <c r="B17" i="5"/>
  <c r="A17" i="5"/>
  <c r="B15" i="5"/>
  <c r="A15" i="5"/>
  <c r="B13" i="5"/>
  <c r="A13" i="5"/>
  <c r="B11" i="5"/>
  <c r="A11" i="5"/>
  <c r="B9" i="5"/>
  <c r="A9" i="5"/>
  <c r="B7" i="5"/>
  <c r="A7" i="5"/>
  <c r="B5" i="5"/>
  <c r="A5" i="5"/>
  <c r="Q1" i="2" a="1"/>
  <c r="Q1" i="1" a="1"/>
  <c r="O233" i="1" l="1"/>
  <c r="O234" i="1"/>
  <c r="O89" i="2"/>
  <c r="O206" i="1"/>
  <c r="C284" i="2"/>
  <c r="O234" i="2"/>
  <c r="O235" i="2"/>
  <c r="O104" i="2"/>
  <c r="O90" i="2"/>
  <c r="O233" i="2"/>
  <c r="O102" i="2"/>
  <c r="O249" i="2"/>
  <c r="O283" i="2" s="1"/>
  <c r="O103" i="2"/>
  <c r="O207" i="2"/>
  <c r="O267" i="2"/>
  <c r="O91" i="2"/>
  <c r="O268" i="2"/>
  <c r="O170" i="2"/>
  <c r="O171" i="2"/>
  <c r="O146" i="2"/>
  <c r="O45" i="1"/>
  <c r="P45" i="1" s="1"/>
  <c r="Q45" i="1" s="1"/>
  <c r="O89" i="1"/>
  <c r="O209" i="1"/>
  <c r="O171" i="1"/>
  <c r="O208" i="1"/>
  <c r="O91" i="1"/>
  <c r="O145" i="1"/>
  <c r="O235" i="1"/>
  <c r="O172" i="1"/>
  <c r="O146" i="1"/>
  <c r="O279" i="2"/>
  <c r="O266" i="2"/>
  <c r="O172" i="2"/>
  <c r="O144" i="2"/>
  <c r="O145" i="2"/>
  <c r="O46" i="2"/>
  <c r="O207" i="1"/>
  <c r="O90" i="1"/>
  <c r="O46" i="1"/>
  <c r="P46" i="1" s="1"/>
  <c r="Q46" i="1" s="1"/>
  <c r="E274" i="2"/>
  <c r="E273" i="2"/>
  <c r="C285" i="2"/>
  <c r="M242" i="2"/>
  <c r="I242" i="2"/>
  <c r="E242" i="2"/>
  <c r="O206" i="2"/>
  <c r="O208" i="2"/>
  <c r="Q242" i="2"/>
  <c r="R241" i="2" s="1"/>
  <c r="O209" i="2"/>
  <c r="A6" i="4"/>
  <c r="A52" i="3"/>
  <c r="A30" i="4"/>
  <c r="C282" i="1"/>
  <c r="G251" i="1"/>
  <c r="G285" i="1" s="1"/>
  <c r="O250" i="1"/>
  <c r="K250" i="1"/>
  <c r="K284" i="1" s="1"/>
  <c r="N44" i="1"/>
  <c r="O251" i="1"/>
  <c r="K251" i="1"/>
  <c r="K285" i="1" s="1"/>
  <c r="F44" i="1"/>
  <c r="A46" i="3"/>
  <c r="A34" i="3"/>
  <c r="A10" i="3"/>
  <c r="A22" i="3"/>
  <c r="A50" i="3"/>
  <c r="A38" i="3"/>
  <c r="A26" i="3"/>
  <c r="A14" i="3"/>
  <c r="A38" i="4"/>
  <c r="A48" i="3"/>
  <c r="A36" i="3"/>
  <c r="A24" i="3"/>
  <c r="A12" i="3"/>
  <c r="A44" i="3"/>
  <c r="A32" i="3"/>
  <c r="A20" i="3"/>
  <c r="A8" i="3"/>
  <c r="A42" i="3"/>
  <c r="A30" i="3"/>
  <c r="A18" i="3"/>
  <c r="A6" i="3"/>
  <c r="A28" i="3"/>
  <c r="A16" i="3"/>
  <c r="A40" i="3"/>
  <c r="A14" i="4"/>
  <c r="A8" i="4"/>
  <c r="A50" i="4"/>
  <c r="A28" i="4"/>
  <c r="A26" i="4"/>
  <c r="A36" i="4"/>
  <c r="A24" i="4"/>
  <c r="A12" i="4"/>
  <c r="A48" i="4"/>
  <c r="A34" i="4"/>
  <c r="A22" i="4"/>
  <c r="A10" i="4"/>
  <c r="A46" i="4"/>
  <c r="A44" i="4"/>
  <c r="A20" i="4"/>
  <c r="A32" i="4"/>
  <c r="A18" i="4"/>
  <c r="A42" i="4"/>
  <c r="A52" i="4"/>
  <c r="A40" i="4"/>
  <c r="A16" i="4"/>
  <c r="Q1" i="2"/>
  <c r="Q1" i="1"/>
  <c r="P232" i="2"/>
  <c r="Q232" i="2" s="1"/>
  <c r="L232" i="2"/>
  <c r="M232" i="2" s="1"/>
  <c r="H232" i="2"/>
  <c r="I232" i="2" s="1"/>
  <c r="D232" i="2"/>
  <c r="E232" i="2" s="1"/>
  <c r="P231" i="2"/>
  <c r="Q231" i="2" s="1"/>
  <c r="L231" i="2"/>
  <c r="M231" i="2" s="1"/>
  <c r="H231" i="2"/>
  <c r="I231" i="2" s="1"/>
  <c r="D231" i="2"/>
  <c r="E231" i="2" s="1"/>
  <c r="P230" i="2"/>
  <c r="F35" i="4" s="1"/>
  <c r="L36" i="5" s="1"/>
  <c r="L230" i="2"/>
  <c r="H230" i="2"/>
  <c r="D230" i="2"/>
  <c r="L1" i="1" a="1"/>
  <c r="L1" i="1" s="1"/>
  <c r="H1" i="2"/>
  <c r="L1" i="2" a="1"/>
  <c r="L1" i="2" s="1"/>
  <c r="N241" i="2" l="1"/>
  <c r="E40" i="4"/>
  <c r="K41" i="5" s="1"/>
  <c r="F36" i="4"/>
  <c r="L37" i="5" s="1"/>
  <c r="J241" i="2"/>
  <c r="D40" i="4"/>
  <c r="J41" i="5" s="1"/>
  <c r="F272" i="2"/>
  <c r="C50" i="4"/>
  <c r="I51" i="5" s="1"/>
  <c r="F241" i="2"/>
  <c r="C40" i="4"/>
  <c r="I41" i="5" s="1"/>
  <c r="F10" i="3"/>
  <c r="G11" i="5" s="1"/>
  <c r="N230" i="2"/>
  <c r="R230" i="2"/>
  <c r="F230" i="2"/>
  <c r="J230" i="2"/>
  <c r="K152" i="1"/>
  <c r="G276" i="1"/>
  <c r="G279" i="1" s="1"/>
  <c r="G9" i="2"/>
  <c r="G17" i="1"/>
  <c r="G152" i="1"/>
  <c r="G138" i="1"/>
  <c r="H199" i="2"/>
  <c r="H200" i="2"/>
  <c r="G248" i="2" l="1"/>
  <c r="G282" i="2" s="1"/>
  <c r="O9" i="2"/>
  <c r="K170" i="1"/>
  <c r="K248" i="1"/>
  <c r="K282" i="1" s="1"/>
  <c r="G282" i="1"/>
  <c r="G170" i="1"/>
  <c r="O170" i="1" s="1"/>
  <c r="O152" i="1"/>
  <c r="G44" i="1"/>
  <c r="O17" i="1"/>
  <c r="O248" i="1" s="1"/>
  <c r="G248" i="1"/>
  <c r="G144" i="1"/>
  <c r="O144" i="1" s="1"/>
  <c r="O138" i="1"/>
  <c r="L45" i="2"/>
  <c r="M45" i="2" s="1"/>
  <c r="E10" i="4" s="1"/>
  <c r="L46" i="2"/>
  <c r="M46" i="2" s="1"/>
  <c r="L44" i="2"/>
  <c r="E9" i="4" l="1"/>
  <c r="K10" i="5" s="1"/>
  <c r="P10" i="5" s="1"/>
  <c r="H44" i="1"/>
  <c r="O44" i="1"/>
  <c r="P44" i="1" s="1"/>
  <c r="N44" i="2"/>
  <c r="L182" i="1"/>
  <c r="D237" i="2"/>
  <c r="C37" i="4" s="1"/>
  <c r="I38" i="5" s="1"/>
  <c r="H237" i="2"/>
  <c r="D37" i="4" s="1"/>
  <c r="L237" i="2"/>
  <c r="E37" i="4" s="1"/>
  <c r="P237" i="2"/>
  <c r="D238" i="2"/>
  <c r="H238" i="2"/>
  <c r="L238" i="2"/>
  <c r="P238" i="2"/>
  <c r="F39" i="4" s="1"/>
  <c r="L40" i="5" s="1"/>
  <c r="D239" i="2"/>
  <c r="E239" i="2" s="1"/>
  <c r="H239" i="2"/>
  <c r="I239" i="2" s="1"/>
  <c r="L239" i="2"/>
  <c r="M239" i="2" s="1"/>
  <c r="P239" i="2"/>
  <c r="Q239" i="2" s="1"/>
  <c r="F40" i="4" s="1"/>
  <c r="L41" i="5" s="1"/>
  <c r="L230" i="1"/>
  <c r="O278" i="1"/>
  <c r="P278" i="1" s="1"/>
  <c r="O277" i="1"/>
  <c r="O276" i="1"/>
  <c r="O274" i="1"/>
  <c r="O273" i="1"/>
  <c r="O272" i="1"/>
  <c r="O265" i="1"/>
  <c r="O264" i="1"/>
  <c r="O263" i="1"/>
  <c r="O261" i="1"/>
  <c r="O260" i="1"/>
  <c r="O257" i="1"/>
  <c r="O268" i="1" s="1"/>
  <c r="O256" i="1"/>
  <c r="O267" i="1" s="1"/>
  <c r="O255" i="1"/>
  <c r="D278" i="1"/>
  <c r="E278" i="1" s="1"/>
  <c r="D226" i="1"/>
  <c r="E226" i="1" s="1"/>
  <c r="D216" i="1"/>
  <c r="E216" i="1" s="1"/>
  <c r="D181" i="1"/>
  <c r="E181" i="1" s="1"/>
  <c r="D180" i="1"/>
  <c r="E180" i="1" s="1"/>
  <c r="D179" i="1"/>
  <c r="E179" i="1" s="1"/>
  <c r="D178" i="1"/>
  <c r="D201" i="1"/>
  <c r="E201" i="1" s="1"/>
  <c r="D200" i="1"/>
  <c r="E200" i="1" s="1"/>
  <c r="D199" i="1"/>
  <c r="E199" i="1" s="1"/>
  <c r="D198" i="1"/>
  <c r="D189" i="1"/>
  <c r="E189" i="1" s="1"/>
  <c r="D188" i="1"/>
  <c r="E188" i="1" s="1"/>
  <c r="D190" i="1"/>
  <c r="D176" i="1"/>
  <c r="E176" i="1" s="1"/>
  <c r="D166" i="1"/>
  <c r="E166" i="1" s="1"/>
  <c r="D156" i="1"/>
  <c r="E156" i="1" s="1"/>
  <c r="D136" i="1"/>
  <c r="E136" i="1" s="1"/>
  <c r="D126" i="1"/>
  <c r="D116" i="1"/>
  <c r="E116" i="1" s="1"/>
  <c r="D106" i="1"/>
  <c r="C19" i="3" s="1"/>
  <c r="D20" i="5" s="1"/>
  <c r="D101" i="1"/>
  <c r="E101" i="1" s="1"/>
  <c r="D100" i="1"/>
  <c r="E100" i="1" s="1"/>
  <c r="D99" i="1"/>
  <c r="D98" i="1"/>
  <c r="E98" i="1" s="1"/>
  <c r="D97" i="1"/>
  <c r="E97" i="1" s="1"/>
  <c r="D86" i="1"/>
  <c r="D76" i="1"/>
  <c r="E76" i="1" s="1"/>
  <c r="D66" i="1"/>
  <c r="E66" i="1" s="1"/>
  <c r="D56" i="1"/>
  <c r="D36" i="1"/>
  <c r="E36" i="1" s="1"/>
  <c r="D26" i="1"/>
  <c r="H278" i="1"/>
  <c r="H226" i="1"/>
  <c r="I226" i="1" s="1"/>
  <c r="H216" i="1"/>
  <c r="I216" i="1" s="1"/>
  <c r="H181" i="1"/>
  <c r="I181" i="1" s="1"/>
  <c r="H180" i="1"/>
  <c r="I180" i="1" s="1"/>
  <c r="H179" i="1"/>
  <c r="I179" i="1" s="1"/>
  <c r="H178" i="1"/>
  <c r="H201" i="1"/>
  <c r="I201" i="1" s="1"/>
  <c r="H200" i="1"/>
  <c r="I200" i="1" s="1"/>
  <c r="H199" i="1"/>
  <c r="I199" i="1" s="1"/>
  <c r="H198" i="1"/>
  <c r="H189" i="1"/>
  <c r="I189" i="1" s="1"/>
  <c r="H188" i="1"/>
  <c r="I188" i="1" s="1"/>
  <c r="H190" i="1"/>
  <c r="H176" i="1"/>
  <c r="I176" i="1" s="1"/>
  <c r="H166" i="1"/>
  <c r="I166" i="1" s="1"/>
  <c r="H156" i="1"/>
  <c r="I156" i="1" s="1"/>
  <c r="H136" i="1"/>
  <c r="I136" i="1" s="1"/>
  <c r="H126" i="1"/>
  <c r="H116" i="1"/>
  <c r="I116" i="1" s="1"/>
  <c r="H106" i="1"/>
  <c r="D19" i="3" s="1"/>
  <c r="E20" i="5" s="1"/>
  <c r="H101" i="1"/>
  <c r="I101" i="1" s="1"/>
  <c r="H100" i="1"/>
  <c r="I100" i="1" s="1"/>
  <c r="H99" i="1"/>
  <c r="H98" i="1"/>
  <c r="I98" i="1" s="1"/>
  <c r="H97" i="1"/>
  <c r="I97" i="1" s="1"/>
  <c r="H96" i="1"/>
  <c r="H86" i="1"/>
  <c r="H76" i="1"/>
  <c r="I76" i="1" s="1"/>
  <c r="H66" i="1"/>
  <c r="I66" i="1" s="1"/>
  <c r="H56" i="1"/>
  <c r="H36" i="1"/>
  <c r="I36" i="1" s="1"/>
  <c r="H26" i="1"/>
  <c r="L278" i="1"/>
  <c r="L226" i="1"/>
  <c r="M226" i="1" s="1"/>
  <c r="L216" i="1"/>
  <c r="M216" i="1" s="1"/>
  <c r="L181" i="1"/>
  <c r="M181" i="1" s="1"/>
  <c r="L180" i="1"/>
  <c r="M180" i="1" s="1"/>
  <c r="L179" i="1"/>
  <c r="M179" i="1" s="1"/>
  <c r="L178" i="1"/>
  <c r="L201" i="1"/>
  <c r="M201" i="1" s="1"/>
  <c r="L200" i="1"/>
  <c r="M200" i="1" s="1"/>
  <c r="L199" i="1"/>
  <c r="M199" i="1" s="1"/>
  <c r="L198" i="1"/>
  <c r="L189" i="1"/>
  <c r="M189" i="1" s="1"/>
  <c r="L188" i="1"/>
  <c r="M188" i="1" s="1"/>
  <c r="L190" i="1"/>
  <c r="L176" i="1"/>
  <c r="M176" i="1" s="1"/>
  <c r="L166" i="1"/>
  <c r="M166" i="1" s="1"/>
  <c r="L156" i="1"/>
  <c r="M156" i="1" s="1"/>
  <c r="L136" i="1"/>
  <c r="M136" i="1" s="1"/>
  <c r="L126" i="1"/>
  <c r="L116" i="1"/>
  <c r="M116" i="1" s="1"/>
  <c r="L106" i="1"/>
  <c r="E19" i="3" s="1"/>
  <c r="F20" i="5" s="1"/>
  <c r="L101" i="1"/>
  <c r="M101" i="1" s="1"/>
  <c r="L100" i="1"/>
  <c r="M100" i="1" s="1"/>
  <c r="L99" i="1"/>
  <c r="L98" i="1"/>
  <c r="M98" i="1" s="1"/>
  <c r="L97" i="1"/>
  <c r="M97" i="1" s="1"/>
  <c r="L96" i="1"/>
  <c r="L86" i="1"/>
  <c r="L76" i="1"/>
  <c r="M76" i="1" s="1"/>
  <c r="L66" i="1"/>
  <c r="M66" i="1" s="1"/>
  <c r="L56" i="1"/>
  <c r="L36" i="1"/>
  <c r="M36" i="1" s="1"/>
  <c r="L26" i="1"/>
  <c r="P26" i="1"/>
  <c r="P36" i="1"/>
  <c r="Q36" i="1" s="1"/>
  <c r="P56" i="1"/>
  <c r="P66" i="1"/>
  <c r="Q66" i="1" s="1"/>
  <c r="P76" i="1"/>
  <c r="Q76" i="1" s="1"/>
  <c r="P86" i="1"/>
  <c r="P97" i="1"/>
  <c r="Q97" i="1" s="1"/>
  <c r="P98" i="1"/>
  <c r="Q98" i="1" s="1"/>
  <c r="P99" i="1"/>
  <c r="P100" i="1"/>
  <c r="Q100" i="1" s="1"/>
  <c r="P101" i="1"/>
  <c r="Q101" i="1" s="1"/>
  <c r="P116" i="1"/>
  <c r="Q116" i="1" s="1"/>
  <c r="P126" i="1"/>
  <c r="P136" i="1"/>
  <c r="Q136" i="1" s="1"/>
  <c r="P156" i="1"/>
  <c r="Q156" i="1" s="1"/>
  <c r="P166" i="1"/>
  <c r="Q166" i="1" s="1"/>
  <c r="P176" i="1"/>
  <c r="Q176" i="1" s="1"/>
  <c r="P190" i="1"/>
  <c r="P188" i="1"/>
  <c r="Q188" i="1" s="1"/>
  <c r="P189" i="1"/>
  <c r="Q189" i="1" s="1"/>
  <c r="P198" i="1"/>
  <c r="P199" i="1"/>
  <c r="Q199" i="1" s="1"/>
  <c r="P200" i="1"/>
  <c r="Q200" i="1" s="1"/>
  <c r="P201" i="1"/>
  <c r="Q201" i="1" s="1"/>
  <c r="P178" i="1"/>
  <c r="P179" i="1"/>
  <c r="Q179" i="1" s="1"/>
  <c r="P180" i="1"/>
  <c r="Q180" i="1" s="1"/>
  <c r="P181" i="1"/>
  <c r="Q181" i="1" s="1"/>
  <c r="P216" i="1"/>
  <c r="Q216" i="1" s="1"/>
  <c r="P226" i="1"/>
  <c r="Q226" i="1" s="1"/>
  <c r="D96" i="1"/>
  <c r="L278" i="2"/>
  <c r="M278" i="2" s="1"/>
  <c r="L277" i="2"/>
  <c r="M277" i="2" s="1"/>
  <c r="E52" i="4" s="1"/>
  <c r="L276" i="2"/>
  <c r="E51" i="4" s="1"/>
  <c r="L274" i="2"/>
  <c r="L281" i="2" s="1"/>
  <c r="L273" i="2"/>
  <c r="L272" i="2"/>
  <c r="E49" i="4" s="1"/>
  <c r="K50" i="5" s="1"/>
  <c r="L265" i="2"/>
  <c r="L264" i="2"/>
  <c r="M264" i="2" s="1"/>
  <c r="L263" i="2"/>
  <c r="E47" i="4" s="1"/>
  <c r="L261" i="2"/>
  <c r="L260" i="2"/>
  <c r="L259" i="2"/>
  <c r="E45" i="4" s="1"/>
  <c r="L257" i="2"/>
  <c r="L256" i="2"/>
  <c r="L255" i="2"/>
  <c r="L247" i="2"/>
  <c r="M247" i="2" s="1"/>
  <c r="L246" i="2"/>
  <c r="M246" i="2" s="1"/>
  <c r="L245" i="2"/>
  <c r="E41" i="4" s="1"/>
  <c r="K42" i="5" s="1"/>
  <c r="L235" i="2"/>
  <c r="M235" i="2" s="1"/>
  <c r="L234" i="2"/>
  <c r="L233" i="2"/>
  <c r="E35" i="4" s="1"/>
  <c r="K36" i="5" s="1"/>
  <c r="L229" i="2"/>
  <c r="M229" i="2" s="1"/>
  <c r="L228" i="2"/>
  <c r="M228" i="2" s="1"/>
  <c r="L227" i="2"/>
  <c r="L226" i="2"/>
  <c r="M226" i="2" s="1"/>
  <c r="L225" i="2"/>
  <c r="M225" i="2" s="1"/>
  <c r="L224" i="2"/>
  <c r="L223" i="2"/>
  <c r="M223" i="2" s="1"/>
  <c r="L222" i="2"/>
  <c r="M222" i="2" s="1"/>
  <c r="L221" i="2"/>
  <c r="L220" i="2"/>
  <c r="M220" i="2" s="1"/>
  <c r="L219" i="2"/>
  <c r="M219" i="2" s="1"/>
  <c r="L218" i="2"/>
  <c r="L217" i="2"/>
  <c r="M217" i="2" s="1"/>
  <c r="L216" i="2"/>
  <c r="M216" i="2" s="1"/>
  <c r="L215" i="2"/>
  <c r="L213" i="2"/>
  <c r="M213" i="2" s="1"/>
  <c r="L212" i="2"/>
  <c r="M212" i="2" s="1"/>
  <c r="E34" i="4" s="1"/>
  <c r="K35" i="5" s="1"/>
  <c r="L211" i="2"/>
  <c r="E33" i="4" s="1"/>
  <c r="L209" i="2"/>
  <c r="M209" i="2" s="1"/>
  <c r="L208" i="2"/>
  <c r="M208" i="2" s="1"/>
  <c r="L206" i="2"/>
  <c r="L181" i="2"/>
  <c r="M181" i="2" s="1"/>
  <c r="L180" i="2"/>
  <c r="M180" i="2" s="1"/>
  <c r="L179" i="2"/>
  <c r="L178" i="2"/>
  <c r="L201" i="2"/>
  <c r="M201" i="2" s="1"/>
  <c r="L200" i="2"/>
  <c r="M200" i="2" s="1"/>
  <c r="L199" i="2"/>
  <c r="M199" i="2" s="1"/>
  <c r="L198" i="2"/>
  <c r="L189" i="2"/>
  <c r="M189" i="2" s="1"/>
  <c r="L188" i="2"/>
  <c r="M188" i="2" s="1"/>
  <c r="L187" i="2"/>
  <c r="M187" i="2" s="1"/>
  <c r="L186" i="2"/>
  <c r="L197" i="2"/>
  <c r="M197" i="2" s="1"/>
  <c r="L196" i="2"/>
  <c r="M196" i="2" s="1"/>
  <c r="L195" i="2"/>
  <c r="M195" i="2" s="1"/>
  <c r="L194" i="2"/>
  <c r="L193" i="2"/>
  <c r="M193" i="2" s="1"/>
  <c r="L192" i="2"/>
  <c r="M192" i="2" s="1"/>
  <c r="L191" i="2"/>
  <c r="M191" i="2" s="1"/>
  <c r="L190" i="2"/>
  <c r="L205" i="2"/>
  <c r="M205" i="2" s="1"/>
  <c r="L204" i="2"/>
  <c r="M204" i="2" s="1"/>
  <c r="L203" i="2"/>
  <c r="M203" i="2" s="1"/>
  <c r="L202" i="2"/>
  <c r="L185" i="2"/>
  <c r="M185" i="2" s="1"/>
  <c r="L184" i="2"/>
  <c r="M184" i="2" s="1"/>
  <c r="L183" i="2"/>
  <c r="M183" i="2" s="1"/>
  <c r="L182" i="2"/>
  <c r="L176" i="2"/>
  <c r="M176" i="2" s="1"/>
  <c r="L175" i="2"/>
  <c r="M175" i="2" s="1"/>
  <c r="E30" i="4" s="1"/>
  <c r="L174" i="2"/>
  <c r="L172" i="2"/>
  <c r="M172" i="2" s="1"/>
  <c r="L171" i="2"/>
  <c r="M171" i="2" s="1"/>
  <c r="L170" i="2"/>
  <c r="L169" i="2"/>
  <c r="M169" i="2" s="1"/>
  <c r="L168" i="2"/>
  <c r="M168" i="2" s="1"/>
  <c r="L167" i="2"/>
  <c r="L166" i="2"/>
  <c r="M166" i="2" s="1"/>
  <c r="L165" i="2"/>
  <c r="M165" i="2" s="1"/>
  <c r="L164" i="2"/>
  <c r="L163" i="2"/>
  <c r="M163" i="2" s="1"/>
  <c r="L162" i="2"/>
  <c r="M162" i="2" s="1"/>
  <c r="L161" i="2"/>
  <c r="L160" i="2"/>
  <c r="M160" i="2" s="1"/>
  <c r="L159" i="2"/>
  <c r="M159" i="2" s="1"/>
  <c r="L158" i="2"/>
  <c r="L157" i="2"/>
  <c r="M157" i="2" s="1"/>
  <c r="L156" i="2"/>
  <c r="M156" i="2" s="1"/>
  <c r="L155" i="2"/>
  <c r="L154" i="2"/>
  <c r="M154" i="2" s="1"/>
  <c r="L153" i="2"/>
  <c r="M153" i="2" s="1"/>
  <c r="L152" i="2"/>
  <c r="L150" i="2"/>
  <c r="M150" i="2" s="1"/>
  <c r="L149" i="2"/>
  <c r="M149" i="2" s="1"/>
  <c r="E26" i="4" s="1"/>
  <c r="L148" i="2"/>
  <c r="L146" i="2"/>
  <c r="M146" i="2" s="1"/>
  <c r="L145" i="2"/>
  <c r="M145" i="2" s="1"/>
  <c r="L144" i="2"/>
  <c r="L143" i="2"/>
  <c r="M143" i="2" s="1"/>
  <c r="L142" i="2"/>
  <c r="M142" i="2" s="1"/>
  <c r="L141" i="2"/>
  <c r="L140" i="2"/>
  <c r="M140" i="2" s="1"/>
  <c r="L139" i="2"/>
  <c r="M139" i="2" s="1"/>
  <c r="L138" i="2"/>
  <c r="L137" i="2"/>
  <c r="M137" i="2" s="1"/>
  <c r="L136" i="2"/>
  <c r="M136" i="2" s="1"/>
  <c r="L135" i="2"/>
  <c r="L134" i="2"/>
  <c r="M134" i="2" s="1"/>
  <c r="L133" i="2"/>
  <c r="M133" i="2" s="1"/>
  <c r="L132" i="2"/>
  <c r="L131" i="2"/>
  <c r="M131" i="2" s="1"/>
  <c r="L130" i="2"/>
  <c r="M130" i="2" s="1"/>
  <c r="L129" i="2"/>
  <c r="L128" i="2"/>
  <c r="M128" i="2" s="1"/>
  <c r="L127" i="2"/>
  <c r="M127" i="2" s="1"/>
  <c r="L126" i="2"/>
  <c r="L125" i="2"/>
  <c r="M125" i="2" s="1"/>
  <c r="L124" i="2"/>
  <c r="M124" i="2" s="1"/>
  <c r="L123" i="2"/>
  <c r="L122" i="2"/>
  <c r="M122" i="2" s="1"/>
  <c r="L121" i="2"/>
  <c r="M121" i="2" s="1"/>
  <c r="L120" i="2"/>
  <c r="L119" i="2"/>
  <c r="M119" i="2" s="1"/>
  <c r="L118" i="2"/>
  <c r="M118" i="2" s="1"/>
  <c r="L117" i="2"/>
  <c r="L116" i="2"/>
  <c r="M116" i="2" s="1"/>
  <c r="L115" i="2"/>
  <c r="M115" i="2" s="1"/>
  <c r="L114" i="2"/>
  <c r="L112" i="2"/>
  <c r="M112" i="2" s="1"/>
  <c r="L111" i="2"/>
  <c r="M111" i="2" s="1"/>
  <c r="E22" i="4" s="1"/>
  <c r="L110" i="2"/>
  <c r="L108" i="2"/>
  <c r="M108" i="2" s="1"/>
  <c r="L107" i="2"/>
  <c r="M107" i="2" s="1"/>
  <c r="L106" i="2"/>
  <c r="L104" i="2"/>
  <c r="M104" i="2" s="1"/>
  <c r="L103" i="2"/>
  <c r="M103" i="2" s="1"/>
  <c r="E18" i="4" s="1"/>
  <c r="L102" i="2"/>
  <c r="L101" i="2"/>
  <c r="M101" i="2" s="1"/>
  <c r="L100" i="2"/>
  <c r="M100" i="2" s="1"/>
  <c r="L99" i="2"/>
  <c r="L98" i="2"/>
  <c r="M98" i="2" s="1"/>
  <c r="L97" i="2"/>
  <c r="M97" i="2" s="1"/>
  <c r="L96" i="2"/>
  <c r="L95" i="2"/>
  <c r="M95" i="2" s="1"/>
  <c r="L94" i="2"/>
  <c r="M94" i="2" s="1"/>
  <c r="L93" i="2"/>
  <c r="L88" i="2"/>
  <c r="M88" i="2" s="1"/>
  <c r="L87" i="2"/>
  <c r="M87" i="2" s="1"/>
  <c r="L86" i="2"/>
  <c r="L85" i="2"/>
  <c r="M85" i="2" s="1"/>
  <c r="L84" i="2"/>
  <c r="M84" i="2" s="1"/>
  <c r="L83" i="2"/>
  <c r="L82" i="2"/>
  <c r="M82" i="2" s="1"/>
  <c r="L81" i="2"/>
  <c r="M81" i="2" s="1"/>
  <c r="L80" i="2"/>
  <c r="L79" i="2"/>
  <c r="M79" i="2" s="1"/>
  <c r="L78" i="2"/>
  <c r="M78" i="2" s="1"/>
  <c r="L77" i="2"/>
  <c r="L76" i="2"/>
  <c r="M76" i="2" s="1"/>
  <c r="L75" i="2"/>
  <c r="M75" i="2" s="1"/>
  <c r="L74" i="2"/>
  <c r="L73" i="2"/>
  <c r="M73" i="2" s="1"/>
  <c r="L72" i="2"/>
  <c r="M72" i="2" s="1"/>
  <c r="L71" i="2"/>
  <c r="L70" i="2"/>
  <c r="M70" i="2" s="1"/>
  <c r="L69" i="2"/>
  <c r="M69" i="2" s="1"/>
  <c r="L68" i="2"/>
  <c r="L67" i="2"/>
  <c r="M67" i="2" s="1"/>
  <c r="L66" i="2"/>
  <c r="M66" i="2" s="1"/>
  <c r="L65" i="2"/>
  <c r="L64" i="2"/>
  <c r="M64" i="2" s="1"/>
  <c r="L63" i="2"/>
  <c r="M63" i="2" s="1"/>
  <c r="L62" i="2"/>
  <c r="L61" i="2"/>
  <c r="M61" i="2" s="1"/>
  <c r="L60" i="2"/>
  <c r="M60" i="2" s="1"/>
  <c r="L59" i="2"/>
  <c r="L58" i="2"/>
  <c r="M58" i="2" s="1"/>
  <c r="L57" i="2"/>
  <c r="M57" i="2" s="1"/>
  <c r="L56" i="2"/>
  <c r="L54" i="2"/>
  <c r="M54" i="2" s="1"/>
  <c r="L53" i="2"/>
  <c r="M53" i="2" s="1"/>
  <c r="L52" i="2"/>
  <c r="L50" i="2"/>
  <c r="M50" i="2" s="1"/>
  <c r="L49" i="2"/>
  <c r="M49" i="2" s="1"/>
  <c r="E12" i="4" s="1"/>
  <c r="L48" i="2"/>
  <c r="L43" i="2"/>
  <c r="M43" i="2" s="1"/>
  <c r="L42" i="2"/>
  <c r="M42" i="2" s="1"/>
  <c r="L41" i="2"/>
  <c r="L40" i="2"/>
  <c r="M40" i="2" s="1"/>
  <c r="L39" i="2"/>
  <c r="M39" i="2" s="1"/>
  <c r="L38" i="2"/>
  <c r="L37" i="2"/>
  <c r="M37" i="2" s="1"/>
  <c r="L36" i="2"/>
  <c r="M36" i="2" s="1"/>
  <c r="L35" i="2"/>
  <c r="L34" i="2"/>
  <c r="M34" i="2" s="1"/>
  <c r="L33" i="2"/>
  <c r="M33" i="2" s="1"/>
  <c r="L32" i="2"/>
  <c r="L31" i="2"/>
  <c r="M31" i="2" s="1"/>
  <c r="L30" i="2"/>
  <c r="M30" i="2" s="1"/>
  <c r="L29" i="2"/>
  <c r="L28" i="2"/>
  <c r="M28" i="2" s="1"/>
  <c r="L27" i="2"/>
  <c r="M27" i="2" s="1"/>
  <c r="L26" i="2"/>
  <c r="L25" i="2"/>
  <c r="M25" i="2" s="1"/>
  <c r="L24" i="2"/>
  <c r="M24" i="2" s="1"/>
  <c r="L23" i="2"/>
  <c r="L22" i="2"/>
  <c r="M22" i="2" s="1"/>
  <c r="L21" i="2"/>
  <c r="M21" i="2" s="1"/>
  <c r="L20" i="2"/>
  <c r="L19" i="2"/>
  <c r="M19" i="2" s="1"/>
  <c r="L18" i="2"/>
  <c r="M18" i="2" s="1"/>
  <c r="L17" i="2"/>
  <c r="L15" i="2"/>
  <c r="M15" i="2" s="1"/>
  <c r="L14" i="2"/>
  <c r="M14" i="2" s="1"/>
  <c r="E8" i="4" s="1"/>
  <c r="L13" i="2"/>
  <c r="L7" i="2"/>
  <c r="L6" i="2"/>
  <c r="L5" i="2"/>
  <c r="L11" i="2"/>
  <c r="M11" i="2" s="1"/>
  <c r="L10" i="2"/>
  <c r="M10" i="2" s="1"/>
  <c r="E6" i="4" s="1"/>
  <c r="L9" i="2"/>
  <c r="L277" i="1"/>
  <c r="M277" i="1" s="1"/>
  <c r="L276" i="1"/>
  <c r="E51" i="3" s="1"/>
  <c r="F52" i="5" s="1"/>
  <c r="L274" i="1"/>
  <c r="L281" i="1" s="1"/>
  <c r="L273" i="1"/>
  <c r="L280" i="1" s="1"/>
  <c r="L272" i="1"/>
  <c r="L265" i="1"/>
  <c r="M265" i="1" s="1"/>
  <c r="L264" i="1"/>
  <c r="M264" i="1" s="1"/>
  <c r="L263" i="1"/>
  <c r="E47" i="3" s="1"/>
  <c r="F48" i="5" s="1"/>
  <c r="L261" i="1"/>
  <c r="M261" i="1" s="1"/>
  <c r="L260" i="1"/>
  <c r="M260" i="1" s="1"/>
  <c r="L257" i="1"/>
  <c r="L256" i="1"/>
  <c r="L255" i="1"/>
  <c r="L247" i="1"/>
  <c r="M247" i="1" s="1"/>
  <c r="L246" i="1"/>
  <c r="M246" i="1" s="1"/>
  <c r="E42" i="3" s="1"/>
  <c r="F43" i="5" s="1"/>
  <c r="L245" i="1"/>
  <c r="E41" i="3" s="1"/>
  <c r="F42" i="5" s="1"/>
  <c r="L243" i="1"/>
  <c r="M243" i="1" s="1"/>
  <c r="L242" i="1"/>
  <c r="M242" i="1" s="1"/>
  <c r="L241" i="1"/>
  <c r="E39" i="3" s="1"/>
  <c r="F40" i="5" s="1"/>
  <c r="L239" i="1"/>
  <c r="M239" i="1" s="1"/>
  <c r="L238" i="1"/>
  <c r="M238" i="1" s="1"/>
  <c r="L237" i="1"/>
  <c r="E37" i="3" s="1"/>
  <c r="F38" i="5" s="1"/>
  <c r="L232" i="1"/>
  <c r="M232" i="1" s="1"/>
  <c r="L231" i="1"/>
  <c r="M231" i="1" s="1"/>
  <c r="L229" i="1"/>
  <c r="M229" i="1" s="1"/>
  <c r="L228" i="1"/>
  <c r="M228" i="1" s="1"/>
  <c r="L227" i="1"/>
  <c r="L225" i="1"/>
  <c r="M225" i="1" s="1"/>
  <c r="L224" i="1"/>
  <c r="L223" i="1"/>
  <c r="M223" i="1" s="1"/>
  <c r="L222" i="1"/>
  <c r="M222" i="1" s="1"/>
  <c r="L221" i="1"/>
  <c r="L220" i="1"/>
  <c r="M220" i="1" s="1"/>
  <c r="L219" i="1"/>
  <c r="M219" i="1" s="1"/>
  <c r="L218" i="1"/>
  <c r="L217" i="1"/>
  <c r="M217" i="1" s="1"/>
  <c r="L215" i="1"/>
  <c r="L213" i="1"/>
  <c r="M213" i="1" s="1"/>
  <c r="L212" i="1"/>
  <c r="M212" i="1" s="1"/>
  <c r="E34" i="3" s="1"/>
  <c r="F35" i="5" s="1"/>
  <c r="L211" i="1"/>
  <c r="E33" i="3" s="1"/>
  <c r="F34" i="5" s="1"/>
  <c r="L209" i="1"/>
  <c r="M209" i="1" s="1"/>
  <c r="L208" i="1"/>
  <c r="M208" i="1" s="1"/>
  <c r="L187" i="1"/>
  <c r="M187" i="1" s="1"/>
  <c r="L186" i="1"/>
  <c r="L197" i="1"/>
  <c r="M197" i="1" s="1"/>
  <c r="L196" i="1"/>
  <c r="M196" i="1" s="1"/>
  <c r="L195" i="1"/>
  <c r="M195" i="1" s="1"/>
  <c r="L194" i="1"/>
  <c r="L193" i="1"/>
  <c r="M193" i="1" s="1"/>
  <c r="L192" i="1"/>
  <c r="M192" i="1" s="1"/>
  <c r="L191" i="1"/>
  <c r="M191" i="1" s="1"/>
  <c r="L205" i="1"/>
  <c r="M205" i="1" s="1"/>
  <c r="L204" i="1"/>
  <c r="M204" i="1" s="1"/>
  <c r="L203" i="1"/>
  <c r="M203" i="1" s="1"/>
  <c r="L202" i="1"/>
  <c r="L185" i="1"/>
  <c r="M185" i="1" s="1"/>
  <c r="L184" i="1"/>
  <c r="M184" i="1" s="1"/>
  <c r="L183" i="1"/>
  <c r="M183" i="1" s="1"/>
  <c r="L175" i="1"/>
  <c r="M175" i="1" s="1"/>
  <c r="E30" i="3" s="1"/>
  <c r="F31" i="5" s="1"/>
  <c r="L174" i="1"/>
  <c r="E29" i="3" s="1"/>
  <c r="F30" i="5" s="1"/>
  <c r="L172" i="1"/>
  <c r="M172" i="1" s="1"/>
  <c r="L171" i="1"/>
  <c r="M171" i="1" s="1"/>
  <c r="E28" i="3" s="1"/>
  <c r="F29" i="5" s="1"/>
  <c r="L169" i="1"/>
  <c r="M169" i="1" s="1"/>
  <c r="L168" i="1"/>
  <c r="M168" i="1" s="1"/>
  <c r="L167" i="1"/>
  <c r="L165" i="1"/>
  <c r="M165" i="1" s="1"/>
  <c r="L164" i="1"/>
  <c r="L163" i="1"/>
  <c r="M163" i="1" s="1"/>
  <c r="L162" i="1"/>
  <c r="M162" i="1" s="1"/>
  <c r="L161" i="1"/>
  <c r="L160" i="1"/>
  <c r="M160" i="1" s="1"/>
  <c r="L159" i="1"/>
  <c r="M159" i="1" s="1"/>
  <c r="L158" i="1"/>
  <c r="L157" i="1"/>
  <c r="M157" i="1" s="1"/>
  <c r="L155" i="1"/>
  <c r="L154" i="1"/>
  <c r="M154" i="1" s="1"/>
  <c r="L153" i="1"/>
  <c r="M153" i="1" s="1"/>
  <c r="L150" i="1"/>
  <c r="M150" i="1" s="1"/>
  <c r="L149" i="1"/>
  <c r="M149" i="1" s="1"/>
  <c r="E26" i="3" s="1"/>
  <c r="F27" i="5" s="1"/>
  <c r="L148" i="1"/>
  <c r="E25" i="3" s="1"/>
  <c r="F26" i="5" s="1"/>
  <c r="L146" i="1"/>
  <c r="M146" i="1" s="1"/>
  <c r="L145" i="1"/>
  <c r="M145" i="1" s="1"/>
  <c r="E24" i="3" s="1"/>
  <c r="F25" i="5" s="1"/>
  <c r="L143" i="1"/>
  <c r="M143" i="1" s="1"/>
  <c r="L142" i="1"/>
  <c r="M142" i="1" s="1"/>
  <c r="L141" i="1"/>
  <c r="L140" i="1"/>
  <c r="M140" i="1" s="1"/>
  <c r="L139" i="1"/>
  <c r="M139" i="1" s="1"/>
  <c r="L144" i="1"/>
  <c r="E23" i="3" s="1"/>
  <c r="F24" i="5" s="1"/>
  <c r="L137" i="1"/>
  <c r="M137" i="1" s="1"/>
  <c r="L135" i="1"/>
  <c r="L134" i="1"/>
  <c r="M134" i="1" s="1"/>
  <c r="L133" i="1"/>
  <c r="M133" i="1" s="1"/>
  <c r="L132" i="1"/>
  <c r="L131" i="1"/>
  <c r="M131" i="1" s="1"/>
  <c r="L130" i="1"/>
  <c r="M130" i="1" s="1"/>
  <c r="L129" i="1"/>
  <c r="L128" i="1"/>
  <c r="M128" i="1" s="1"/>
  <c r="L127" i="1"/>
  <c r="M127" i="1" s="1"/>
  <c r="L125" i="1"/>
  <c r="M125" i="1" s="1"/>
  <c r="L124" i="1"/>
  <c r="M124" i="1" s="1"/>
  <c r="L123" i="1"/>
  <c r="L122" i="1"/>
  <c r="M122" i="1" s="1"/>
  <c r="L121" i="1"/>
  <c r="M121" i="1" s="1"/>
  <c r="L120" i="1"/>
  <c r="L119" i="1"/>
  <c r="M119" i="1" s="1"/>
  <c r="L118" i="1"/>
  <c r="M118" i="1" s="1"/>
  <c r="L117" i="1"/>
  <c r="L115" i="1"/>
  <c r="M115" i="1" s="1"/>
  <c r="L114" i="1"/>
  <c r="L112" i="1"/>
  <c r="M112" i="1" s="1"/>
  <c r="L111" i="1"/>
  <c r="M111" i="1" s="1"/>
  <c r="E22" i="3" s="1"/>
  <c r="F23" i="5" s="1"/>
  <c r="L110" i="1"/>
  <c r="E21" i="3" s="1"/>
  <c r="F22" i="5" s="1"/>
  <c r="L108" i="1"/>
  <c r="M108" i="1" s="1"/>
  <c r="L107" i="1"/>
  <c r="M107" i="1" s="1"/>
  <c r="K104" i="1"/>
  <c r="K103" i="1"/>
  <c r="K102" i="1"/>
  <c r="O102" i="1" s="1"/>
  <c r="L95" i="1"/>
  <c r="M95" i="1" s="1"/>
  <c r="L94" i="1"/>
  <c r="M94" i="1" s="1"/>
  <c r="L93" i="1"/>
  <c r="L91" i="1"/>
  <c r="L90" i="1"/>
  <c r="L89" i="1"/>
  <c r="E15" i="3" s="1"/>
  <c r="F16" i="5" s="1"/>
  <c r="L88" i="1"/>
  <c r="M88" i="1" s="1"/>
  <c r="L87" i="1"/>
  <c r="M87" i="1" s="1"/>
  <c r="L85" i="1"/>
  <c r="M85" i="1" s="1"/>
  <c r="L84" i="1"/>
  <c r="M84" i="1" s="1"/>
  <c r="L83" i="1"/>
  <c r="L82" i="1"/>
  <c r="M82" i="1" s="1"/>
  <c r="L81" i="1"/>
  <c r="M81" i="1" s="1"/>
  <c r="L80" i="1"/>
  <c r="L79" i="1"/>
  <c r="M79" i="1" s="1"/>
  <c r="L78" i="1"/>
  <c r="M78" i="1" s="1"/>
  <c r="L77" i="1"/>
  <c r="L75" i="1"/>
  <c r="M75" i="1" s="1"/>
  <c r="L74" i="1"/>
  <c r="L73" i="1"/>
  <c r="M73" i="1" s="1"/>
  <c r="L72" i="1"/>
  <c r="M72" i="1" s="1"/>
  <c r="L71" i="1"/>
  <c r="L70" i="1"/>
  <c r="M70" i="1" s="1"/>
  <c r="L69" i="1"/>
  <c r="M69" i="1" s="1"/>
  <c r="L68" i="1"/>
  <c r="L67" i="1"/>
  <c r="M67" i="1" s="1"/>
  <c r="L65" i="1"/>
  <c r="L64" i="1"/>
  <c r="M64" i="1" s="1"/>
  <c r="L63" i="1"/>
  <c r="M63" i="1" s="1"/>
  <c r="L62" i="1"/>
  <c r="L61" i="1"/>
  <c r="M61" i="1" s="1"/>
  <c r="L60" i="1"/>
  <c r="M60" i="1" s="1"/>
  <c r="L59" i="1"/>
  <c r="L58" i="1"/>
  <c r="M58" i="1" s="1"/>
  <c r="L57" i="1"/>
  <c r="M57" i="1" s="1"/>
  <c r="L54" i="1"/>
  <c r="M54" i="1" s="1"/>
  <c r="L53" i="1"/>
  <c r="M53" i="1" s="1"/>
  <c r="E14" i="3" s="1"/>
  <c r="F15" i="5" s="1"/>
  <c r="L52" i="1"/>
  <c r="E13" i="3" s="1"/>
  <c r="F14" i="5" s="1"/>
  <c r="L50" i="1"/>
  <c r="M50" i="1" s="1"/>
  <c r="L49" i="1"/>
  <c r="M49" i="1" s="1"/>
  <c r="L48" i="1"/>
  <c r="E11" i="3" s="1"/>
  <c r="F12" i="5" s="1"/>
  <c r="L43" i="1"/>
  <c r="M43" i="1" s="1"/>
  <c r="L42" i="1"/>
  <c r="M42" i="1" s="1"/>
  <c r="L41" i="1"/>
  <c r="L40" i="1"/>
  <c r="M40" i="1" s="1"/>
  <c r="L39" i="1"/>
  <c r="M39" i="1" s="1"/>
  <c r="L38" i="1"/>
  <c r="L37" i="1"/>
  <c r="M37" i="1" s="1"/>
  <c r="L35" i="1"/>
  <c r="L34" i="1"/>
  <c r="M34" i="1" s="1"/>
  <c r="L33" i="1"/>
  <c r="M33" i="1" s="1"/>
  <c r="L32" i="1"/>
  <c r="L31" i="1"/>
  <c r="M31" i="1" s="1"/>
  <c r="L30" i="1"/>
  <c r="M30" i="1" s="1"/>
  <c r="L29" i="1"/>
  <c r="L28" i="1"/>
  <c r="M28" i="1" s="1"/>
  <c r="L27" i="1"/>
  <c r="M27" i="1" s="1"/>
  <c r="L25" i="1"/>
  <c r="M25" i="1" s="1"/>
  <c r="L24" i="1"/>
  <c r="M24" i="1" s="1"/>
  <c r="L23" i="1"/>
  <c r="L22" i="1"/>
  <c r="M22" i="1" s="1"/>
  <c r="L21" i="1"/>
  <c r="M21" i="1" s="1"/>
  <c r="L20" i="1"/>
  <c r="L19" i="1"/>
  <c r="M19" i="1" s="1"/>
  <c r="L18" i="1"/>
  <c r="M18" i="1" s="1"/>
  <c r="L17" i="1"/>
  <c r="L15" i="1"/>
  <c r="M15" i="1" s="1"/>
  <c r="L14" i="1"/>
  <c r="M14" i="1" s="1"/>
  <c r="E8" i="3" s="1"/>
  <c r="F9" i="5" s="1"/>
  <c r="L13" i="1"/>
  <c r="E7" i="3" s="1"/>
  <c r="F8" i="5" s="1"/>
  <c r="L7" i="1"/>
  <c r="M7" i="1" s="1"/>
  <c r="L6" i="1"/>
  <c r="M6" i="1" s="1"/>
  <c r="L5" i="1"/>
  <c r="L11" i="1"/>
  <c r="M11" i="1" s="1"/>
  <c r="L10" i="1"/>
  <c r="M10" i="1" s="1"/>
  <c r="E6" i="3" s="1"/>
  <c r="F7" i="5" s="1"/>
  <c r="L9" i="1"/>
  <c r="E5" i="3" s="1"/>
  <c r="F6" i="5" s="1"/>
  <c r="P42" i="5" l="1"/>
  <c r="E46" i="3"/>
  <c r="F47" i="5" s="1"/>
  <c r="E4" i="3"/>
  <c r="F5" i="5" s="1"/>
  <c r="E48" i="3"/>
  <c r="F49" i="5" s="1"/>
  <c r="K27" i="5"/>
  <c r="P27" i="5" s="1"/>
  <c r="E27" i="4"/>
  <c r="E14" i="4"/>
  <c r="E20" i="4"/>
  <c r="E24" i="4"/>
  <c r="K25" i="5" s="1"/>
  <c r="P25" i="5" s="1"/>
  <c r="E28" i="4"/>
  <c r="K29" i="5" s="1"/>
  <c r="P29" i="5" s="1"/>
  <c r="L266" i="2"/>
  <c r="E43" i="4"/>
  <c r="K44" i="5" s="1"/>
  <c r="E3" i="4"/>
  <c r="K4" i="5" s="1"/>
  <c r="K19" i="5"/>
  <c r="E19" i="4"/>
  <c r="E7" i="4"/>
  <c r="K8" i="5" s="1"/>
  <c r="P8" i="5" s="1"/>
  <c r="K21" i="5"/>
  <c r="E21" i="4"/>
  <c r="E25" i="4"/>
  <c r="E29" i="4"/>
  <c r="P35" i="5"/>
  <c r="K13" i="5"/>
  <c r="E13" i="4"/>
  <c r="K23" i="5"/>
  <c r="P23" i="5" s="1"/>
  <c r="E23" i="4"/>
  <c r="E5" i="4"/>
  <c r="K6" i="5" s="1"/>
  <c r="P6" i="5" s="1"/>
  <c r="K11" i="5"/>
  <c r="P11" i="5" s="1"/>
  <c r="E11" i="4"/>
  <c r="E17" i="4"/>
  <c r="E42" i="4"/>
  <c r="K43" i="5" s="1"/>
  <c r="P43" i="5" s="1"/>
  <c r="K31" i="5"/>
  <c r="P31" i="5" s="1"/>
  <c r="E31" i="4"/>
  <c r="K40" i="5"/>
  <c r="P40" i="5" s="1"/>
  <c r="J40" i="5"/>
  <c r="E12" i="3"/>
  <c r="F13" i="5" s="1"/>
  <c r="E43" i="3"/>
  <c r="F44" i="5" s="1"/>
  <c r="E49" i="3"/>
  <c r="F50" i="5" s="1"/>
  <c r="P50" i="5" s="1"/>
  <c r="L279" i="1"/>
  <c r="M256" i="1"/>
  <c r="L267" i="1"/>
  <c r="M257" i="1"/>
  <c r="M268" i="1" s="1"/>
  <c r="L268" i="1"/>
  <c r="E3" i="3"/>
  <c r="F4" i="5" s="1"/>
  <c r="L248" i="1"/>
  <c r="E38" i="3"/>
  <c r="F39" i="5" s="1"/>
  <c r="O279" i="1"/>
  <c r="R44" i="1"/>
  <c r="F9" i="3"/>
  <c r="G10" i="5" s="1"/>
  <c r="L103" i="1"/>
  <c r="M103" i="1" s="1"/>
  <c r="E18" i="3" s="1"/>
  <c r="F19" i="5" s="1"/>
  <c r="O103" i="1"/>
  <c r="L104" i="1"/>
  <c r="M104" i="1" s="1"/>
  <c r="O104" i="1"/>
  <c r="E20" i="3"/>
  <c r="F21" i="5" s="1"/>
  <c r="P21" i="5" s="1"/>
  <c r="E40" i="3"/>
  <c r="F41" i="5" s="1"/>
  <c r="P41" i="5" s="1"/>
  <c r="D9" i="3"/>
  <c r="E10" i="5" s="1"/>
  <c r="J44" i="1"/>
  <c r="O284" i="1"/>
  <c r="O285" i="1"/>
  <c r="O280" i="1"/>
  <c r="O281" i="1"/>
  <c r="M179" i="2"/>
  <c r="M249" i="2" s="1"/>
  <c r="M283" i="2" s="1"/>
  <c r="L249" i="2"/>
  <c r="L283" i="2" s="1"/>
  <c r="L279" i="2"/>
  <c r="L280" i="2"/>
  <c r="L284" i="2" s="1"/>
  <c r="L285" i="2"/>
  <c r="L267" i="2"/>
  <c r="M257" i="2"/>
  <c r="L268" i="2"/>
  <c r="M90" i="1"/>
  <c r="N89" i="1" s="1"/>
  <c r="M91" i="1"/>
  <c r="L248" i="2"/>
  <c r="M6" i="2"/>
  <c r="L250" i="2"/>
  <c r="M7" i="2"/>
  <c r="M251" i="2" s="1"/>
  <c r="L251" i="2"/>
  <c r="L89" i="2"/>
  <c r="L90" i="2"/>
  <c r="M90" i="2" s="1"/>
  <c r="E16" i="4" s="1"/>
  <c r="K17" i="5" s="1"/>
  <c r="L91" i="2"/>
  <c r="M91" i="2" s="1"/>
  <c r="Q238" i="2"/>
  <c r="R237" i="2" s="1"/>
  <c r="M238" i="2"/>
  <c r="I238" i="2"/>
  <c r="E238" i="2"/>
  <c r="M234" i="2"/>
  <c r="M265" i="2"/>
  <c r="N263" i="2" s="1"/>
  <c r="M256" i="2"/>
  <c r="E44" i="4" s="1"/>
  <c r="K45" i="5" s="1"/>
  <c r="M274" i="1"/>
  <c r="O259" i="1"/>
  <c r="O266" i="1" s="1"/>
  <c r="O282" i="1" s="1"/>
  <c r="N32" i="2"/>
  <c r="N170" i="2"/>
  <c r="N93" i="2"/>
  <c r="N99" i="2"/>
  <c r="N148" i="2"/>
  <c r="N161" i="2"/>
  <c r="N245" i="2"/>
  <c r="N23" i="2"/>
  <c r="N83" i="2"/>
  <c r="N155" i="2"/>
  <c r="N74" i="2"/>
  <c r="N141" i="2"/>
  <c r="N35" i="2"/>
  <c r="N152" i="2"/>
  <c r="N276" i="2"/>
  <c r="N158" i="2"/>
  <c r="N224" i="2"/>
  <c r="N48" i="2"/>
  <c r="N59" i="2"/>
  <c r="N117" i="2"/>
  <c r="N182" i="2"/>
  <c r="N71" i="2"/>
  <c r="N178" i="2"/>
  <c r="N56" i="2"/>
  <c r="N123" i="2"/>
  <c r="N29" i="2"/>
  <c r="N68" i="2"/>
  <c r="N164" i="2"/>
  <c r="N144" i="2"/>
  <c r="N167" i="2"/>
  <c r="N198" i="2"/>
  <c r="N80" i="2"/>
  <c r="N186" i="2"/>
  <c r="N62" i="2"/>
  <c r="N86" i="2"/>
  <c r="N110" i="2"/>
  <c r="N129" i="2"/>
  <c r="N215" i="2"/>
  <c r="M273" i="2"/>
  <c r="N126" i="1"/>
  <c r="N135" i="1"/>
  <c r="N224" i="1"/>
  <c r="N106" i="1"/>
  <c r="R178" i="1"/>
  <c r="N190" i="1"/>
  <c r="N35" i="1"/>
  <c r="N144" i="1"/>
  <c r="N114" i="1"/>
  <c r="N164" i="1"/>
  <c r="N74" i="1"/>
  <c r="N86" i="1"/>
  <c r="J198" i="1"/>
  <c r="F198" i="1"/>
  <c r="N26" i="1"/>
  <c r="P96" i="1"/>
  <c r="R96" i="1" s="1"/>
  <c r="N99" i="1"/>
  <c r="P106" i="1"/>
  <c r="F19" i="3" s="1"/>
  <c r="G20" i="5" s="1"/>
  <c r="N186" i="1"/>
  <c r="N178" i="1"/>
  <c r="L102" i="1"/>
  <c r="E17" i="3" s="1"/>
  <c r="F18" i="5" s="1"/>
  <c r="J96" i="1"/>
  <c r="F96" i="1"/>
  <c r="N56" i="1"/>
  <c r="N155" i="1"/>
  <c r="N215" i="1"/>
  <c r="N174" i="1"/>
  <c r="N65" i="1"/>
  <c r="F99" i="1"/>
  <c r="F178" i="1"/>
  <c r="J178" i="1"/>
  <c r="J99" i="1"/>
  <c r="I278" i="1"/>
  <c r="N198" i="1"/>
  <c r="N96" i="1"/>
  <c r="M278" i="1"/>
  <c r="E52" i="3" s="1"/>
  <c r="F53" i="5" s="1"/>
  <c r="R198" i="1"/>
  <c r="Q278" i="1"/>
  <c r="R99" i="1"/>
  <c r="N9" i="1"/>
  <c r="N167" i="1"/>
  <c r="N29" i="1"/>
  <c r="N132" i="1"/>
  <c r="N123" i="1"/>
  <c r="N32" i="1"/>
  <c r="M273" i="1"/>
  <c r="L138" i="1"/>
  <c r="N138" i="1" s="1"/>
  <c r="N148" i="1"/>
  <c r="N221" i="1"/>
  <c r="L152" i="1"/>
  <c r="N152" i="1" s="1"/>
  <c r="N230" i="1"/>
  <c r="N117" i="1"/>
  <c r="L259" i="1"/>
  <c r="E45" i="3" s="1"/>
  <c r="F46" i="5" s="1"/>
  <c r="N41" i="1"/>
  <c r="N52" i="1"/>
  <c r="N62" i="1"/>
  <c r="N71" i="1"/>
  <c r="N80" i="1"/>
  <c r="N241" i="1"/>
  <c r="N17" i="1"/>
  <c r="N110" i="1"/>
  <c r="N202" i="1"/>
  <c r="N211" i="1"/>
  <c r="N237" i="1"/>
  <c r="N120" i="1"/>
  <c r="N93" i="1"/>
  <c r="N245" i="1"/>
  <c r="N263" i="1"/>
  <c r="N5" i="1"/>
  <c r="N20" i="1"/>
  <c r="N182" i="1"/>
  <c r="N129" i="1"/>
  <c r="L207" i="1"/>
  <c r="L249" i="1" s="1"/>
  <c r="L283" i="1" s="1"/>
  <c r="N218" i="1"/>
  <c r="N38" i="1"/>
  <c r="N48" i="1"/>
  <c r="N59" i="1"/>
  <c r="N68" i="1"/>
  <c r="N77" i="1"/>
  <c r="N13" i="1"/>
  <c r="N23" i="1"/>
  <c r="N65" i="2"/>
  <c r="N114" i="2"/>
  <c r="N132" i="2"/>
  <c r="N174" i="2"/>
  <c r="N102" i="2"/>
  <c r="N13" i="2"/>
  <c r="N26" i="2"/>
  <c r="N190" i="2"/>
  <c r="N218" i="2"/>
  <c r="N227" i="2"/>
  <c r="N17" i="2"/>
  <c r="N38" i="2"/>
  <c r="N106" i="2"/>
  <c r="N126" i="2"/>
  <c r="N135" i="2"/>
  <c r="N9" i="2"/>
  <c r="N41" i="2"/>
  <c r="N77" i="2"/>
  <c r="N194" i="2"/>
  <c r="N211" i="2"/>
  <c r="N221" i="2"/>
  <c r="N52" i="2"/>
  <c r="N96" i="2"/>
  <c r="N20" i="2"/>
  <c r="N120" i="2"/>
  <c r="N138" i="2"/>
  <c r="N202" i="2"/>
  <c r="M260" i="2"/>
  <c r="E46" i="4" s="1"/>
  <c r="K47" i="5" s="1"/>
  <c r="P47" i="5" s="1"/>
  <c r="M261" i="2"/>
  <c r="L207" i="2"/>
  <c r="M274" i="2"/>
  <c r="N83" i="1"/>
  <c r="N158" i="1"/>
  <c r="N227" i="1"/>
  <c r="N141" i="1"/>
  <c r="N161" i="1"/>
  <c r="N255" i="1"/>
  <c r="N194" i="1"/>
  <c r="P4" i="5" l="1"/>
  <c r="P13" i="5"/>
  <c r="E48" i="4"/>
  <c r="K49" i="5" s="1"/>
  <c r="P49" i="5" s="1"/>
  <c r="P19" i="5"/>
  <c r="E4" i="4"/>
  <c r="P44" i="5"/>
  <c r="N233" i="2"/>
  <c r="E36" i="4"/>
  <c r="K37" i="5" s="1"/>
  <c r="F237" i="2"/>
  <c r="C38" i="4"/>
  <c r="I39" i="5" s="1"/>
  <c r="J237" i="2"/>
  <c r="D38" i="4"/>
  <c r="J39" i="5" s="1"/>
  <c r="K15" i="5"/>
  <c r="P15" i="5" s="1"/>
  <c r="E15" i="4"/>
  <c r="N237" i="2"/>
  <c r="E38" i="4"/>
  <c r="K39" i="5" s="1"/>
  <c r="P39" i="5" s="1"/>
  <c r="M280" i="2"/>
  <c r="E50" i="4"/>
  <c r="K51" i="5" s="1"/>
  <c r="E50" i="3"/>
  <c r="F51" i="5" s="1"/>
  <c r="P51" i="5" s="1"/>
  <c r="M280" i="1"/>
  <c r="E16" i="3"/>
  <c r="F17" i="5" s="1"/>
  <c r="P17" i="5" s="1"/>
  <c r="M281" i="1"/>
  <c r="E44" i="3"/>
  <c r="F45" i="5" s="1"/>
  <c r="P45" i="5" s="1"/>
  <c r="M267" i="1"/>
  <c r="L282" i="1"/>
  <c r="L266" i="1"/>
  <c r="L282" i="2"/>
  <c r="M281" i="2"/>
  <c r="M285" i="2" s="1"/>
  <c r="M268" i="2"/>
  <c r="N255" i="2"/>
  <c r="M267" i="2"/>
  <c r="M250" i="2"/>
  <c r="M284" i="2"/>
  <c r="N5" i="2"/>
  <c r="N89" i="2"/>
  <c r="L170" i="1"/>
  <c r="E27" i="3" s="1"/>
  <c r="F28" i="5" s="1"/>
  <c r="N272" i="1"/>
  <c r="N102" i="1"/>
  <c r="N272" i="2"/>
  <c r="N259" i="1"/>
  <c r="L206" i="1"/>
  <c r="E31" i="3" s="1"/>
  <c r="N276" i="1"/>
  <c r="L234" i="1"/>
  <c r="L250" i="1" s="1"/>
  <c r="L284" i="1" s="1"/>
  <c r="L233" i="1"/>
  <c r="E35" i="3" s="1"/>
  <c r="F36" i="5" s="1"/>
  <c r="P36" i="5" s="1"/>
  <c r="L235" i="1"/>
  <c r="L251" i="1" s="1"/>
  <c r="L285" i="1" s="1"/>
  <c r="M207" i="1"/>
  <c r="M207" i="2"/>
  <c r="E32" i="4" s="1"/>
  <c r="K33" i="5" s="1"/>
  <c r="N259" i="2"/>
  <c r="N279" i="1" l="1"/>
  <c r="N279" i="2"/>
  <c r="E53" i="4"/>
  <c r="F32" i="5"/>
  <c r="N282" i="2"/>
  <c r="N266" i="1"/>
  <c r="M249" i="1"/>
  <c r="M283" i="1" s="1"/>
  <c r="E32" i="3"/>
  <c r="F33" i="5" s="1"/>
  <c r="P33" i="5" s="1"/>
  <c r="N266" i="2"/>
  <c r="N248" i="2"/>
  <c r="N170" i="1"/>
  <c r="M235" i="1"/>
  <c r="M251" i="1" s="1"/>
  <c r="M285" i="1" s="1"/>
  <c r="N206" i="1"/>
  <c r="M234" i="1"/>
  <c r="N206" i="2"/>
  <c r="M250" i="1" l="1"/>
  <c r="N248" i="1" s="1"/>
  <c r="E36" i="3"/>
  <c r="F37" i="5" s="1"/>
  <c r="M284" i="1"/>
  <c r="N282" i="1" s="1"/>
  <c r="N233" i="1"/>
  <c r="E53" i="3" l="1"/>
  <c r="F54" i="5"/>
  <c r="P37" i="5"/>
  <c r="H234" i="1"/>
  <c r="I234" i="1" s="1"/>
  <c r="D36" i="3" s="1"/>
  <c r="E37" i="5" s="1"/>
  <c r="H235" i="1"/>
  <c r="I235" i="1" s="1"/>
  <c r="H233" i="1"/>
  <c r="D35" i="3" s="1"/>
  <c r="E36" i="5" s="1"/>
  <c r="P232" i="1"/>
  <c r="Q232" i="1" s="1"/>
  <c r="H232" i="1"/>
  <c r="I232" i="1" s="1"/>
  <c r="D232" i="1"/>
  <c r="E232" i="1" s="1"/>
  <c r="P231" i="1"/>
  <c r="Q231" i="1" s="1"/>
  <c r="H231" i="1"/>
  <c r="I231" i="1" s="1"/>
  <c r="D231" i="1"/>
  <c r="E231" i="1" s="1"/>
  <c r="P230" i="1"/>
  <c r="H230" i="1"/>
  <c r="D230" i="1"/>
  <c r="I200" i="2"/>
  <c r="D183" i="1"/>
  <c r="D184" i="1"/>
  <c r="D185" i="1"/>
  <c r="D203" i="1"/>
  <c r="D204" i="1"/>
  <c r="D205" i="1"/>
  <c r="D191" i="1"/>
  <c r="D192" i="1"/>
  <c r="D193" i="1"/>
  <c r="D194" i="1"/>
  <c r="D195" i="1"/>
  <c r="D196" i="1"/>
  <c r="D197" i="1"/>
  <c r="D186" i="1"/>
  <c r="D187" i="1"/>
  <c r="H182" i="1"/>
  <c r="H183" i="1"/>
  <c r="H184" i="1"/>
  <c r="H185" i="1"/>
  <c r="H202" i="1"/>
  <c r="H203" i="1"/>
  <c r="H204" i="1"/>
  <c r="H205" i="1"/>
  <c r="H191" i="1"/>
  <c r="H192" i="1"/>
  <c r="H193" i="1"/>
  <c r="H194" i="1"/>
  <c r="H195" i="1"/>
  <c r="H196" i="1"/>
  <c r="H197" i="1"/>
  <c r="H186" i="1"/>
  <c r="H187" i="1"/>
  <c r="D182" i="1"/>
  <c r="D202" i="1"/>
  <c r="H206" i="1"/>
  <c r="D31" i="3" s="1"/>
  <c r="D91" i="2"/>
  <c r="E91" i="2" s="1"/>
  <c r="D90" i="2"/>
  <c r="E90" i="2" s="1"/>
  <c r="C16" i="4" s="1"/>
  <c r="I17" i="5" s="1"/>
  <c r="D89" i="2"/>
  <c r="C15" i="4" s="1"/>
  <c r="I16" i="5" s="1"/>
  <c r="D235" i="2"/>
  <c r="E235" i="2" s="1"/>
  <c r="D234" i="2"/>
  <c r="D233" i="2"/>
  <c r="C35" i="4" s="1"/>
  <c r="I36" i="5" s="1"/>
  <c r="D209" i="2"/>
  <c r="E209" i="2" s="1"/>
  <c r="D208" i="2"/>
  <c r="E208" i="2" s="1"/>
  <c r="D206" i="2"/>
  <c r="C31" i="4" s="1"/>
  <c r="D172" i="2"/>
  <c r="E172" i="2" s="1"/>
  <c r="D171" i="2"/>
  <c r="E171" i="2" s="1"/>
  <c r="D170" i="2"/>
  <c r="C27" i="4" s="1"/>
  <c r="I28" i="5" s="1"/>
  <c r="D146" i="2"/>
  <c r="E146" i="2" s="1"/>
  <c r="D145" i="2"/>
  <c r="E145" i="2" s="1"/>
  <c r="C24" i="4" s="1"/>
  <c r="I25" i="5" s="1"/>
  <c r="D144" i="2"/>
  <c r="C23" i="4" s="1"/>
  <c r="I24" i="5" s="1"/>
  <c r="D104" i="2"/>
  <c r="E104" i="2" s="1"/>
  <c r="D103" i="2"/>
  <c r="E103" i="2" s="1"/>
  <c r="C18" i="4" s="1"/>
  <c r="I19" i="5" s="1"/>
  <c r="D102" i="2"/>
  <c r="C17" i="4" s="1"/>
  <c r="I18" i="5" s="1"/>
  <c r="H9" i="2"/>
  <c r="H10" i="2"/>
  <c r="D10" i="2"/>
  <c r="H11" i="2"/>
  <c r="D11" i="2"/>
  <c r="H5" i="2"/>
  <c r="D5" i="2"/>
  <c r="C3" i="4" s="1"/>
  <c r="I4" i="5" s="1"/>
  <c r="H6" i="2"/>
  <c r="D6" i="2"/>
  <c r="H7" i="2"/>
  <c r="D7" i="2"/>
  <c r="H13" i="2"/>
  <c r="D13" i="2"/>
  <c r="C7" i="4" s="1"/>
  <c r="I8" i="5" s="1"/>
  <c r="H14" i="2"/>
  <c r="I14" i="2" s="1"/>
  <c r="D14" i="2"/>
  <c r="E14" i="2" s="1"/>
  <c r="H15" i="2"/>
  <c r="I15" i="2" s="1"/>
  <c r="D15" i="2"/>
  <c r="E15" i="2" s="1"/>
  <c r="H17" i="2"/>
  <c r="D17" i="2"/>
  <c r="H18" i="2"/>
  <c r="I18" i="2" s="1"/>
  <c r="D18" i="2"/>
  <c r="E18" i="2" s="1"/>
  <c r="H19" i="2"/>
  <c r="I19" i="2" s="1"/>
  <c r="D19" i="2"/>
  <c r="E19" i="2" s="1"/>
  <c r="H20" i="2"/>
  <c r="D20" i="2"/>
  <c r="H21" i="2"/>
  <c r="I21" i="2" s="1"/>
  <c r="D21" i="2"/>
  <c r="E21" i="2" s="1"/>
  <c r="H22" i="2"/>
  <c r="I22" i="2" s="1"/>
  <c r="D22" i="2"/>
  <c r="E22" i="2" s="1"/>
  <c r="H23" i="2"/>
  <c r="D23" i="2"/>
  <c r="H24" i="2"/>
  <c r="I24" i="2" s="1"/>
  <c r="D24" i="2"/>
  <c r="E24" i="2" s="1"/>
  <c r="H25" i="2"/>
  <c r="I25" i="2" s="1"/>
  <c r="D25" i="2"/>
  <c r="E25" i="2" s="1"/>
  <c r="H26" i="2"/>
  <c r="D26" i="2"/>
  <c r="H27" i="2"/>
  <c r="I27" i="2" s="1"/>
  <c r="D27" i="2"/>
  <c r="E27" i="2" s="1"/>
  <c r="H28" i="2"/>
  <c r="I28" i="2" s="1"/>
  <c r="D28" i="2"/>
  <c r="E28" i="2" s="1"/>
  <c r="H29" i="2"/>
  <c r="D29" i="2"/>
  <c r="H30" i="2"/>
  <c r="I30" i="2" s="1"/>
  <c r="D30" i="2"/>
  <c r="E30" i="2" s="1"/>
  <c r="H31" i="2"/>
  <c r="I31" i="2" s="1"/>
  <c r="D31" i="2"/>
  <c r="E31" i="2" s="1"/>
  <c r="H32" i="2"/>
  <c r="D32" i="2"/>
  <c r="H33" i="2"/>
  <c r="I33" i="2" s="1"/>
  <c r="D33" i="2"/>
  <c r="E33" i="2" s="1"/>
  <c r="H34" i="2"/>
  <c r="I34" i="2" s="1"/>
  <c r="D34" i="2"/>
  <c r="E34" i="2" s="1"/>
  <c r="H35" i="2"/>
  <c r="D35" i="2"/>
  <c r="H36" i="2"/>
  <c r="I36" i="2" s="1"/>
  <c r="D36" i="2"/>
  <c r="E36" i="2" s="1"/>
  <c r="H37" i="2"/>
  <c r="I37" i="2" s="1"/>
  <c r="D37" i="2"/>
  <c r="E37" i="2" s="1"/>
  <c r="H38" i="2"/>
  <c r="D38" i="2"/>
  <c r="H39" i="2"/>
  <c r="I39" i="2" s="1"/>
  <c r="D39" i="2"/>
  <c r="E39" i="2" s="1"/>
  <c r="H40" i="2"/>
  <c r="I40" i="2" s="1"/>
  <c r="D40" i="2"/>
  <c r="E40" i="2" s="1"/>
  <c r="H41" i="2"/>
  <c r="D41" i="2"/>
  <c r="H42" i="2"/>
  <c r="I42" i="2" s="1"/>
  <c r="D42" i="2"/>
  <c r="E42" i="2" s="1"/>
  <c r="H43" i="2"/>
  <c r="I43" i="2" s="1"/>
  <c r="D43" i="2"/>
  <c r="E43" i="2" s="1"/>
  <c r="H48" i="2"/>
  <c r="D48" i="2"/>
  <c r="C11" i="4" s="1"/>
  <c r="I12" i="5" s="1"/>
  <c r="H49" i="2"/>
  <c r="I49" i="2" s="1"/>
  <c r="D49" i="2"/>
  <c r="E49" i="2" s="1"/>
  <c r="C12" i="4" s="1"/>
  <c r="I13" i="5" s="1"/>
  <c r="H50" i="2"/>
  <c r="I50" i="2" s="1"/>
  <c r="D50" i="2"/>
  <c r="E50" i="2" s="1"/>
  <c r="H52" i="2"/>
  <c r="D52" i="2"/>
  <c r="C13" i="4" s="1"/>
  <c r="I14" i="5" s="1"/>
  <c r="H53" i="2"/>
  <c r="I53" i="2" s="1"/>
  <c r="D14" i="4" s="1"/>
  <c r="D53" i="2"/>
  <c r="E53" i="2" s="1"/>
  <c r="H54" i="2"/>
  <c r="I54" i="2" s="1"/>
  <c r="D54" i="2"/>
  <c r="E54" i="2" s="1"/>
  <c r="H56" i="2"/>
  <c r="D56" i="2"/>
  <c r="H57" i="2"/>
  <c r="I57" i="2" s="1"/>
  <c r="D57" i="2"/>
  <c r="E57" i="2" s="1"/>
  <c r="H58" i="2"/>
  <c r="I58" i="2" s="1"/>
  <c r="D58" i="2"/>
  <c r="E58" i="2" s="1"/>
  <c r="H59" i="2"/>
  <c r="D59" i="2"/>
  <c r="H60" i="2"/>
  <c r="I60" i="2" s="1"/>
  <c r="D60" i="2"/>
  <c r="E60" i="2" s="1"/>
  <c r="H61" i="2"/>
  <c r="I61" i="2" s="1"/>
  <c r="D61" i="2"/>
  <c r="E61" i="2" s="1"/>
  <c r="H62" i="2"/>
  <c r="D62" i="2"/>
  <c r="H63" i="2"/>
  <c r="I63" i="2" s="1"/>
  <c r="D63" i="2"/>
  <c r="E63" i="2" s="1"/>
  <c r="H64" i="2"/>
  <c r="I64" i="2" s="1"/>
  <c r="D64" i="2"/>
  <c r="E64" i="2" s="1"/>
  <c r="H65" i="2"/>
  <c r="D65" i="2"/>
  <c r="H66" i="2"/>
  <c r="I66" i="2" s="1"/>
  <c r="D66" i="2"/>
  <c r="E66" i="2" s="1"/>
  <c r="H67" i="2"/>
  <c r="I67" i="2" s="1"/>
  <c r="D67" i="2"/>
  <c r="E67" i="2" s="1"/>
  <c r="H68" i="2"/>
  <c r="D68" i="2"/>
  <c r="H69" i="2"/>
  <c r="I69" i="2" s="1"/>
  <c r="D69" i="2"/>
  <c r="E69" i="2" s="1"/>
  <c r="H70" i="2"/>
  <c r="I70" i="2" s="1"/>
  <c r="D70" i="2"/>
  <c r="E70" i="2" s="1"/>
  <c r="H71" i="2"/>
  <c r="D71" i="2"/>
  <c r="H72" i="2"/>
  <c r="I72" i="2" s="1"/>
  <c r="D72" i="2"/>
  <c r="E72" i="2" s="1"/>
  <c r="H73" i="2"/>
  <c r="I73" i="2" s="1"/>
  <c r="D73" i="2"/>
  <c r="E73" i="2" s="1"/>
  <c r="H74" i="2"/>
  <c r="D74" i="2"/>
  <c r="H75" i="2"/>
  <c r="I75" i="2" s="1"/>
  <c r="D75" i="2"/>
  <c r="E75" i="2" s="1"/>
  <c r="H76" i="2"/>
  <c r="I76" i="2" s="1"/>
  <c r="D76" i="2"/>
  <c r="E76" i="2" s="1"/>
  <c r="H77" i="2"/>
  <c r="D77" i="2"/>
  <c r="H78" i="2"/>
  <c r="I78" i="2" s="1"/>
  <c r="D78" i="2"/>
  <c r="E78" i="2" s="1"/>
  <c r="H79" i="2"/>
  <c r="I79" i="2" s="1"/>
  <c r="D79" i="2"/>
  <c r="E79" i="2" s="1"/>
  <c r="H80" i="2"/>
  <c r="D80" i="2"/>
  <c r="H81" i="2"/>
  <c r="I81" i="2" s="1"/>
  <c r="D81" i="2"/>
  <c r="E81" i="2" s="1"/>
  <c r="H82" i="2"/>
  <c r="I82" i="2" s="1"/>
  <c r="D82" i="2"/>
  <c r="E82" i="2" s="1"/>
  <c r="H83" i="2"/>
  <c r="D83" i="2"/>
  <c r="H84" i="2"/>
  <c r="I84" i="2" s="1"/>
  <c r="D84" i="2"/>
  <c r="E84" i="2" s="1"/>
  <c r="H85" i="2"/>
  <c r="I85" i="2" s="1"/>
  <c r="D85" i="2"/>
  <c r="E85" i="2" s="1"/>
  <c r="H86" i="2"/>
  <c r="D86" i="2"/>
  <c r="H87" i="2"/>
  <c r="I87" i="2" s="1"/>
  <c r="D87" i="2"/>
  <c r="E87" i="2" s="1"/>
  <c r="H88" i="2"/>
  <c r="I88" i="2" s="1"/>
  <c r="D88" i="2"/>
  <c r="E88" i="2" s="1"/>
  <c r="H89" i="2"/>
  <c r="H90" i="2"/>
  <c r="I90" i="2" s="1"/>
  <c r="H91" i="2"/>
  <c r="I91" i="2" s="1"/>
  <c r="H93" i="2"/>
  <c r="D93" i="2"/>
  <c r="H94" i="2"/>
  <c r="I94" i="2" s="1"/>
  <c r="D94" i="2"/>
  <c r="E94" i="2" s="1"/>
  <c r="H95" i="2"/>
  <c r="I95" i="2" s="1"/>
  <c r="D95" i="2"/>
  <c r="E95" i="2" s="1"/>
  <c r="H96" i="2"/>
  <c r="D96" i="2"/>
  <c r="H97" i="2"/>
  <c r="I97" i="2" s="1"/>
  <c r="D97" i="2"/>
  <c r="E97" i="2" s="1"/>
  <c r="H98" i="2"/>
  <c r="I98" i="2" s="1"/>
  <c r="D98" i="2"/>
  <c r="E98" i="2" s="1"/>
  <c r="H99" i="2"/>
  <c r="D99" i="2"/>
  <c r="H100" i="2"/>
  <c r="I100" i="2" s="1"/>
  <c r="D100" i="2"/>
  <c r="E100" i="2" s="1"/>
  <c r="H101" i="2"/>
  <c r="I101" i="2" s="1"/>
  <c r="D101" i="2"/>
  <c r="E101" i="2" s="1"/>
  <c r="H102" i="2"/>
  <c r="H103" i="2"/>
  <c r="I103" i="2" s="1"/>
  <c r="D18" i="4" s="1"/>
  <c r="H104" i="2"/>
  <c r="I104" i="2" s="1"/>
  <c r="H106" i="2"/>
  <c r="D106" i="2"/>
  <c r="C19" i="4" s="1"/>
  <c r="I20" i="5" s="1"/>
  <c r="N20" i="5" s="1"/>
  <c r="H107" i="2"/>
  <c r="I107" i="2" s="1"/>
  <c r="D20" i="4" s="1"/>
  <c r="D107" i="2"/>
  <c r="E107" i="2" s="1"/>
  <c r="H108" i="2"/>
  <c r="I108" i="2" s="1"/>
  <c r="D108" i="2"/>
  <c r="E108" i="2" s="1"/>
  <c r="H110" i="2"/>
  <c r="D110" i="2"/>
  <c r="C21" i="4" s="1"/>
  <c r="I22" i="5" s="1"/>
  <c r="H111" i="2"/>
  <c r="I111" i="2" s="1"/>
  <c r="D111" i="2"/>
  <c r="E111" i="2" s="1"/>
  <c r="C22" i="4" s="1"/>
  <c r="I23" i="5" s="1"/>
  <c r="H112" i="2"/>
  <c r="I112" i="2" s="1"/>
  <c r="D112" i="2"/>
  <c r="E112" i="2" s="1"/>
  <c r="H114" i="2"/>
  <c r="D114" i="2"/>
  <c r="H115" i="2"/>
  <c r="I115" i="2" s="1"/>
  <c r="D115" i="2"/>
  <c r="E115" i="2" s="1"/>
  <c r="H116" i="2"/>
  <c r="I116" i="2" s="1"/>
  <c r="D116" i="2"/>
  <c r="E116" i="2" s="1"/>
  <c r="H117" i="2"/>
  <c r="D117" i="2"/>
  <c r="H118" i="2"/>
  <c r="I118" i="2" s="1"/>
  <c r="D118" i="2"/>
  <c r="E118" i="2" s="1"/>
  <c r="H119" i="2"/>
  <c r="I119" i="2" s="1"/>
  <c r="D119" i="2"/>
  <c r="E119" i="2" s="1"/>
  <c r="H120" i="2"/>
  <c r="D120" i="2"/>
  <c r="H121" i="2"/>
  <c r="I121" i="2" s="1"/>
  <c r="D121" i="2"/>
  <c r="E121" i="2" s="1"/>
  <c r="H122" i="2"/>
  <c r="I122" i="2" s="1"/>
  <c r="D122" i="2"/>
  <c r="E122" i="2" s="1"/>
  <c r="H123" i="2"/>
  <c r="D123" i="2"/>
  <c r="H124" i="2"/>
  <c r="I124" i="2" s="1"/>
  <c r="D124" i="2"/>
  <c r="E124" i="2" s="1"/>
  <c r="H125" i="2"/>
  <c r="I125" i="2" s="1"/>
  <c r="D125" i="2"/>
  <c r="E125" i="2" s="1"/>
  <c r="H126" i="2"/>
  <c r="D126" i="2"/>
  <c r="H127" i="2"/>
  <c r="I127" i="2" s="1"/>
  <c r="D127" i="2"/>
  <c r="E127" i="2" s="1"/>
  <c r="H128" i="2"/>
  <c r="I128" i="2" s="1"/>
  <c r="D128" i="2"/>
  <c r="E128" i="2" s="1"/>
  <c r="H129" i="2"/>
  <c r="D129" i="2"/>
  <c r="H130" i="2"/>
  <c r="I130" i="2" s="1"/>
  <c r="D130" i="2"/>
  <c r="E130" i="2" s="1"/>
  <c r="H131" i="2"/>
  <c r="I131" i="2" s="1"/>
  <c r="D131" i="2"/>
  <c r="E131" i="2" s="1"/>
  <c r="H132" i="2"/>
  <c r="D132" i="2"/>
  <c r="H133" i="2"/>
  <c r="I133" i="2" s="1"/>
  <c r="D133" i="2"/>
  <c r="E133" i="2" s="1"/>
  <c r="H134" i="2"/>
  <c r="I134" i="2" s="1"/>
  <c r="D134" i="2"/>
  <c r="E134" i="2" s="1"/>
  <c r="H135" i="2"/>
  <c r="D135" i="2"/>
  <c r="H136" i="2"/>
  <c r="I136" i="2" s="1"/>
  <c r="D136" i="2"/>
  <c r="E136" i="2" s="1"/>
  <c r="H137" i="2"/>
  <c r="I137" i="2" s="1"/>
  <c r="D137" i="2"/>
  <c r="E137" i="2" s="1"/>
  <c r="H138" i="2"/>
  <c r="D138" i="2"/>
  <c r="H139" i="2"/>
  <c r="I139" i="2" s="1"/>
  <c r="D139" i="2"/>
  <c r="E139" i="2" s="1"/>
  <c r="H140" i="2"/>
  <c r="I140" i="2" s="1"/>
  <c r="D140" i="2"/>
  <c r="E140" i="2" s="1"/>
  <c r="H141" i="2"/>
  <c r="D141" i="2"/>
  <c r="H142" i="2"/>
  <c r="I142" i="2" s="1"/>
  <c r="D142" i="2"/>
  <c r="E142" i="2" s="1"/>
  <c r="H143" i="2"/>
  <c r="I143" i="2" s="1"/>
  <c r="D143" i="2"/>
  <c r="E143" i="2" s="1"/>
  <c r="H144" i="2"/>
  <c r="H145" i="2"/>
  <c r="I145" i="2" s="1"/>
  <c r="D24" i="4" s="1"/>
  <c r="H146" i="2"/>
  <c r="I146" i="2" s="1"/>
  <c r="H148" i="2"/>
  <c r="D148" i="2"/>
  <c r="C25" i="4" s="1"/>
  <c r="I26" i="5" s="1"/>
  <c r="H149" i="2"/>
  <c r="I149" i="2" s="1"/>
  <c r="D149" i="2"/>
  <c r="E149" i="2" s="1"/>
  <c r="H150" i="2"/>
  <c r="I150" i="2" s="1"/>
  <c r="D150" i="2"/>
  <c r="E150" i="2" s="1"/>
  <c r="H152" i="2"/>
  <c r="D152" i="2"/>
  <c r="H153" i="2"/>
  <c r="I153" i="2" s="1"/>
  <c r="D153" i="2"/>
  <c r="E153" i="2" s="1"/>
  <c r="H154" i="2"/>
  <c r="I154" i="2" s="1"/>
  <c r="D154" i="2"/>
  <c r="E154" i="2" s="1"/>
  <c r="H155" i="2"/>
  <c r="D155" i="2"/>
  <c r="H156" i="2"/>
  <c r="I156" i="2" s="1"/>
  <c r="D156" i="2"/>
  <c r="E156" i="2" s="1"/>
  <c r="H157" i="2"/>
  <c r="I157" i="2" s="1"/>
  <c r="D157" i="2"/>
  <c r="E157" i="2" s="1"/>
  <c r="H158" i="2"/>
  <c r="D158" i="2"/>
  <c r="H159" i="2"/>
  <c r="I159" i="2" s="1"/>
  <c r="D159" i="2"/>
  <c r="E159" i="2" s="1"/>
  <c r="H160" i="2"/>
  <c r="I160" i="2" s="1"/>
  <c r="D160" i="2"/>
  <c r="E160" i="2" s="1"/>
  <c r="H161" i="2"/>
  <c r="D161" i="2"/>
  <c r="H162" i="2"/>
  <c r="I162" i="2" s="1"/>
  <c r="D162" i="2"/>
  <c r="E162" i="2" s="1"/>
  <c r="H163" i="2"/>
  <c r="I163" i="2" s="1"/>
  <c r="D163" i="2"/>
  <c r="E163" i="2" s="1"/>
  <c r="H164" i="2"/>
  <c r="D164" i="2"/>
  <c r="H165" i="2"/>
  <c r="I165" i="2" s="1"/>
  <c r="D165" i="2"/>
  <c r="E165" i="2" s="1"/>
  <c r="H166" i="2"/>
  <c r="I166" i="2" s="1"/>
  <c r="D166" i="2"/>
  <c r="E166" i="2" s="1"/>
  <c r="H167" i="2"/>
  <c r="D167" i="2"/>
  <c r="H168" i="2"/>
  <c r="I168" i="2" s="1"/>
  <c r="D168" i="2"/>
  <c r="E168" i="2" s="1"/>
  <c r="H169" i="2"/>
  <c r="I169" i="2" s="1"/>
  <c r="D169" i="2"/>
  <c r="E169" i="2" s="1"/>
  <c r="H170" i="2"/>
  <c r="H171" i="2"/>
  <c r="I171" i="2" s="1"/>
  <c r="D28" i="4" s="1"/>
  <c r="H172" i="2"/>
  <c r="I172" i="2" s="1"/>
  <c r="H174" i="2"/>
  <c r="D174" i="2"/>
  <c r="C29" i="4" s="1"/>
  <c r="I30" i="5" s="1"/>
  <c r="H175" i="2"/>
  <c r="I175" i="2" s="1"/>
  <c r="D30" i="4" s="1"/>
  <c r="D175" i="2"/>
  <c r="E175" i="2" s="1"/>
  <c r="H176" i="2"/>
  <c r="I176" i="2" s="1"/>
  <c r="D176" i="2"/>
  <c r="E176" i="2" s="1"/>
  <c r="H182" i="2"/>
  <c r="D182" i="2"/>
  <c r="H183" i="2"/>
  <c r="I183" i="2" s="1"/>
  <c r="D183" i="2"/>
  <c r="E183" i="2" s="1"/>
  <c r="H184" i="2"/>
  <c r="I184" i="2" s="1"/>
  <c r="D184" i="2"/>
  <c r="E184" i="2" s="1"/>
  <c r="H185" i="2"/>
  <c r="I185" i="2" s="1"/>
  <c r="D185" i="2"/>
  <c r="E185" i="2" s="1"/>
  <c r="H202" i="2"/>
  <c r="D202" i="2"/>
  <c r="H203" i="2"/>
  <c r="I203" i="2" s="1"/>
  <c r="D203" i="2"/>
  <c r="H204" i="2"/>
  <c r="I204" i="2" s="1"/>
  <c r="D204" i="2"/>
  <c r="E204" i="2" s="1"/>
  <c r="H205" i="2"/>
  <c r="I205" i="2" s="1"/>
  <c r="D205" i="2"/>
  <c r="E205" i="2" s="1"/>
  <c r="H190" i="2"/>
  <c r="D190" i="2"/>
  <c r="H191" i="2"/>
  <c r="I191" i="2" s="1"/>
  <c r="D191" i="2"/>
  <c r="E191" i="2" s="1"/>
  <c r="H192" i="2"/>
  <c r="I192" i="2" s="1"/>
  <c r="D192" i="2"/>
  <c r="E192" i="2" s="1"/>
  <c r="H193" i="2"/>
  <c r="I193" i="2" s="1"/>
  <c r="D193" i="2"/>
  <c r="E193" i="2" s="1"/>
  <c r="H194" i="2"/>
  <c r="D194" i="2"/>
  <c r="H195" i="2"/>
  <c r="I195" i="2" s="1"/>
  <c r="D195" i="2"/>
  <c r="E195" i="2" s="1"/>
  <c r="H196" i="2"/>
  <c r="I196" i="2" s="1"/>
  <c r="D196" i="2"/>
  <c r="E196" i="2" s="1"/>
  <c r="H197" i="2"/>
  <c r="I197" i="2" s="1"/>
  <c r="D197" i="2"/>
  <c r="E197" i="2" s="1"/>
  <c r="H186" i="2"/>
  <c r="D186" i="2"/>
  <c r="H187" i="2"/>
  <c r="I187" i="2" s="1"/>
  <c r="D187" i="2"/>
  <c r="E187" i="2" s="1"/>
  <c r="H188" i="2"/>
  <c r="I188" i="2" s="1"/>
  <c r="D188" i="2"/>
  <c r="E188" i="2" s="1"/>
  <c r="H189" i="2"/>
  <c r="I189" i="2" s="1"/>
  <c r="D189" i="2"/>
  <c r="E189" i="2" s="1"/>
  <c r="H198" i="2"/>
  <c r="D198" i="2"/>
  <c r="D199" i="2"/>
  <c r="E199" i="2" s="1"/>
  <c r="D200" i="2"/>
  <c r="E200" i="2" s="1"/>
  <c r="H201" i="2"/>
  <c r="I201" i="2" s="1"/>
  <c r="D201" i="2"/>
  <c r="E201" i="2" s="1"/>
  <c r="H178" i="2"/>
  <c r="D178" i="2"/>
  <c r="H179" i="2"/>
  <c r="D179" i="2"/>
  <c r="E179" i="2" s="1"/>
  <c r="H180" i="2"/>
  <c r="I180" i="2" s="1"/>
  <c r="D180" i="2"/>
  <c r="E180" i="2" s="1"/>
  <c r="H181" i="2"/>
  <c r="I181" i="2" s="1"/>
  <c r="D181" i="2"/>
  <c r="E181" i="2" s="1"/>
  <c r="H206" i="2"/>
  <c r="H208" i="2"/>
  <c r="I208" i="2" s="1"/>
  <c r="H209" i="2"/>
  <c r="I209" i="2" s="1"/>
  <c r="H211" i="2"/>
  <c r="D33" i="4" s="1"/>
  <c r="D211" i="2"/>
  <c r="C33" i="4" s="1"/>
  <c r="I34" i="5" s="1"/>
  <c r="H212" i="2"/>
  <c r="I212" i="2" s="1"/>
  <c r="D212" i="2"/>
  <c r="E212" i="2" s="1"/>
  <c r="H213" i="2"/>
  <c r="I213" i="2" s="1"/>
  <c r="D213" i="2"/>
  <c r="E213" i="2" s="1"/>
  <c r="H215" i="2"/>
  <c r="D215" i="2"/>
  <c r="H216" i="2"/>
  <c r="I216" i="2" s="1"/>
  <c r="D216" i="2"/>
  <c r="E216" i="2" s="1"/>
  <c r="H217" i="2"/>
  <c r="I217" i="2" s="1"/>
  <c r="D217" i="2"/>
  <c r="E217" i="2" s="1"/>
  <c r="H218" i="2"/>
  <c r="D218" i="2"/>
  <c r="H219" i="2"/>
  <c r="I219" i="2" s="1"/>
  <c r="D219" i="2"/>
  <c r="E219" i="2" s="1"/>
  <c r="H220" i="2"/>
  <c r="I220" i="2" s="1"/>
  <c r="D220" i="2"/>
  <c r="E220" i="2" s="1"/>
  <c r="H221" i="2"/>
  <c r="D221" i="2"/>
  <c r="H222" i="2"/>
  <c r="I222" i="2" s="1"/>
  <c r="D222" i="2"/>
  <c r="E222" i="2" s="1"/>
  <c r="H223" i="2"/>
  <c r="I223" i="2" s="1"/>
  <c r="D223" i="2"/>
  <c r="E223" i="2" s="1"/>
  <c r="H224" i="2"/>
  <c r="D224" i="2"/>
  <c r="H225" i="2"/>
  <c r="I225" i="2" s="1"/>
  <c r="D225" i="2"/>
  <c r="E225" i="2" s="1"/>
  <c r="H226" i="2"/>
  <c r="I226" i="2" s="1"/>
  <c r="D226" i="2"/>
  <c r="E226" i="2" s="1"/>
  <c r="H227" i="2"/>
  <c r="D227" i="2"/>
  <c r="H228" i="2"/>
  <c r="I228" i="2" s="1"/>
  <c r="D228" i="2"/>
  <c r="E228" i="2" s="1"/>
  <c r="H229" i="2"/>
  <c r="I229" i="2" s="1"/>
  <c r="D229" i="2"/>
  <c r="E229" i="2" s="1"/>
  <c r="H233" i="2"/>
  <c r="D35" i="4" s="1"/>
  <c r="J36" i="5" s="1"/>
  <c r="H234" i="2"/>
  <c r="H235" i="2"/>
  <c r="I235" i="2" s="1"/>
  <c r="H245" i="2"/>
  <c r="D41" i="4" s="1"/>
  <c r="J42" i="5" s="1"/>
  <c r="D245" i="2"/>
  <c r="C41" i="4" s="1"/>
  <c r="I42" i="5" s="1"/>
  <c r="H246" i="2"/>
  <c r="I246" i="2" s="1"/>
  <c r="D246" i="2"/>
  <c r="E246" i="2" s="1"/>
  <c r="C42" i="4" s="1"/>
  <c r="I43" i="5" s="1"/>
  <c r="H247" i="2"/>
  <c r="I247" i="2" s="1"/>
  <c r="D247" i="2"/>
  <c r="E247" i="2" s="1"/>
  <c r="H255" i="2"/>
  <c r="D43" i="4" s="1"/>
  <c r="J44" i="5" s="1"/>
  <c r="D255" i="2"/>
  <c r="C43" i="4" s="1"/>
  <c r="I44" i="5" s="1"/>
  <c r="H256" i="2"/>
  <c r="D256" i="2"/>
  <c r="H257" i="2"/>
  <c r="D257" i="2"/>
  <c r="H259" i="2"/>
  <c r="D45" i="4" s="1"/>
  <c r="D259" i="2"/>
  <c r="C45" i="4" s="1"/>
  <c r="I46" i="5" s="1"/>
  <c r="H260" i="2"/>
  <c r="D260" i="2"/>
  <c r="H261" i="2"/>
  <c r="I261" i="2" s="1"/>
  <c r="D261" i="2"/>
  <c r="E261" i="2" s="1"/>
  <c r="H263" i="2"/>
  <c r="D47" i="4" s="1"/>
  <c r="D263" i="2"/>
  <c r="C47" i="4" s="1"/>
  <c r="I48" i="5" s="1"/>
  <c r="H264" i="2"/>
  <c r="I264" i="2" s="1"/>
  <c r="D264" i="2"/>
  <c r="E264" i="2" s="1"/>
  <c r="H265" i="2"/>
  <c r="D265" i="2"/>
  <c r="H272" i="2"/>
  <c r="D49" i="4" s="1"/>
  <c r="J50" i="5" s="1"/>
  <c r="H273" i="2"/>
  <c r="H274" i="2"/>
  <c r="H276" i="2"/>
  <c r="D51" i="4" s="1"/>
  <c r="D279" i="2"/>
  <c r="H277" i="2"/>
  <c r="I277" i="2" s="1"/>
  <c r="D52" i="4" s="1"/>
  <c r="D277" i="2"/>
  <c r="H278" i="2"/>
  <c r="I278" i="2" s="1"/>
  <c r="D278" i="2"/>
  <c r="D27" i="4" l="1"/>
  <c r="J28" i="5" s="1"/>
  <c r="D17" i="4"/>
  <c r="J18" i="5" s="1"/>
  <c r="C8" i="4"/>
  <c r="I9" i="5" s="1"/>
  <c r="D42" i="4"/>
  <c r="J43" i="5" s="1"/>
  <c r="D22" i="4"/>
  <c r="D12" i="4"/>
  <c r="D8" i="4"/>
  <c r="D5" i="4"/>
  <c r="J6" i="5" s="1"/>
  <c r="C34" i="4"/>
  <c r="I35" i="5" s="1"/>
  <c r="C26" i="4"/>
  <c r="I27" i="5" s="1"/>
  <c r="J21" i="5"/>
  <c r="D21" i="4"/>
  <c r="D11" i="4"/>
  <c r="D7" i="4"/>
  <c r="J8" i="5" s="1"/>
  <c r="D34" i="4"/>
  <c r="J35" i="5" s="1"/>
  <c r="D26" i="4"/>
  <c r="J27" i="5" s="1"/>
  <c r="C30" i="4"/>
  <c r="I31" i="5" s="1"/>
  <c r="J25" i="5"/>
  <c r="D25" i="4"/>
  <c r="C20" i="4"/>
  <c r="I21" i="5" s="1"/>
  <c r="C14" i="4"/>
  <c r="I15" i="5" s="1"/>
  <c r="O36" i="5"/>
  <c r="D16" i="4"/>
  <c r="J17" i="5" s="1"/>
  <c r="J29" i="5"/>
  <c r="D29" i="4"/>
  <c r="J23" i="5"/>
  <c r="D23" i="4"/>
  <c r="J19" i="5"/>
  <c r="D19" i="4"/>
  <c r="J20" i="5" s="1"/>
  <c r="O20" i="5" s="1"/>
  <c r="J15" i="5"/>
  <c r="D15" i="4"/>
  <c r="J16" i="5" s="1"/>
  <c r="J13" i="5"/>
  <c r="D13" i="4"/>
  <c r="D3" i="4"/>
  <c r="J4" i="5" s="1"/>
  <c r="C28" i="4"/>
  <c r="I29" i="5" s="1"/>
  <c r="J31" i="5"/>
  <c r="D31" i="4"/>
  <c r="I32" i="5"/>
  <c r="E32" i="5"/>
  <c r="K38" i="5"/>
  <c r="P38" i="5" s="1"/>
  <c r="J38" i="5"/>
  <c r="K34" i="5"/>
  <c r="P34" i="5" s="1"/>
  <c r="J34" i="5"/>
  <c r="K26" i="5"/>
  <c r="P26" i="5" s="1"/>
  <c r="J26" i="5"/>
  <c r="K30" i="5"/>
  <c r="P30" i="5" s="1"/>
  <c r="J30" i="5"/>
  <c r="K20" i="5"/>
  <c r="P20" i="5" s="1"/>
  <c r="K14" i="5"/>
  <c r="P14" i="5" s="1"/>
  <c r="J14" i="5"/>
  <c r="K24" i="5"/>
  <c r="P24" i="5" s="1"/>
  <c r="J24" i="5"/>
  <c r="K16" i="5"/>
  <c r="P16" i="5" s="1"/>
  <c r="K48" i="5"/>
  <c r="P48" i="5" s="1"/>
  <c r="J48" i="5"/>
  <c r="K28" i="5"/>
  <c r="P28" i="5" s="1"/>
  <c r="K18" i="5"/>
  <c r="P18" i="5" s="1"/>
  <c r="J22" i="5"/>
  <c r="K22" i="5"/>
  <c r="P22" i="5" s="1"/>
  <c r="K12" i="5"/>
  <c r="P12" i="5" s="1"/>
  <c r="J12" i="5"/>
  <c r="J9" i="5"/>
  <c r="K9" i="5"/>
  <c r="P9" i="5" s="1"/>
  <c r="I273" i="2"/>
  <c r="H280" i="2"/>
  <c r="H284" i="2" s="1"/>
  <c r="H279" i="2"/>
  <c r="I179" i="2"/>
  <c r="I249" i="2" s="1"/>
  <c r="I283" i="2" s="1"/>
  <c r="H249" i="2"/>
  <c r="H283" i="2" s="1"/>
  <c r="D267" i="2"/>
  <c r="I257" i="2"/>
  <c r="H268" i="2"/>
  <c r="H267" i="2"/>
  <c r="E257" i="2"/>
  <c r="D268" i="2"/>
  <c r="E280" i="2"/>
  <c r="D280" i="2"/>
  <c r="D284" i="2" s="1"/>
  <c r="H266" i="2"/>
  <c r="E281" i="2"/>
  <c r="D281" i="2"/>
  <c r="D285" i="2" s="1"/>
  <c r="E260" i="2"/>
  <c r="I274" i="2"/>
  <c r="H281" i="2"/>
  <c r="H285" i="2" s="1"/>
  <c r="I260" i="2"/>
  <c r="D46" i="4" s="1"/>
  <c r="J47" i="5" s="1"/>
  <c r="E203" i="2"/>
  <c r="E249" i="2" s="1"/>
  <c r="E283" i="2" s="1"/>
  <c r="D249" i="2"/>
  <c r="D283" i="2" s="1"/>
  <c r="E7" i="2"/>
  <c r="D251" i="2"/>
  <c r="I7" i="2"/>
  <c r="H251" i="2"/>
  <c r="E6" i="2"/>
  <c r="D250" i="2"/>
  <c r="I6" i="2"/>
  <c r="D4" i="4" s="1"/>
  <c r="H250" i="2"/>
  <c r="H248" i="2"/>
  <c r="E256" i="2"/>
  <c r="C44" i="4" s="1"/>
  <c r="I45" i="5" s="1"/>
  <c r="I256" i="2"/>
  <c r="D44" i="4" s="1"/>
  <c r="J45" i="5" s="1"/>
  <c r="I265" i="2"/>
  <c r="D48" i="4" s="1"/>
  <c r="J49" i="5" s="1"/>
  <c r="E265" i="2"/>
  <c r="F263" i="2" s="1"/>
  <c r="I234" i="2"/>
  <c r="E234" i="2"/>
  <c r="D46" i="2"/>
  <c r="E46" i="2" s="1"/>
  <c r="E11" i="2"/>
  <c r="E10" i="2"/>
  <c r="C6" i="4" s="1"/>
  <c r="I11" i="2"/>
  <c r="H46" i="2"/>
  <c r="I46" i="2" s="1"/>
  <c r="I10" i="2"/>
  <c r="D6" i="4" s="1"/>
  <c r="H45" i="2"/>
  <c r="H44" i="2"/>
  <c r="D45" i="2"/>
  <c r="E45" i="2" s="1"/>
  <c r="D9" i="2"/>
  <c r="D233" i="1"/>
  <c r="C35" i="3" s="1"/>
  <c r="D36" i="5" s="1"/>
  <c r="N36" i="5" s="1"/>
  <c r="D234" i="1"/>
  <c r="E234" i="1" s="1"/>
  <c r="D235" i="1"/>
  <c r="E235" i="1" s="1"/>
  <c r="J230" i="1"/>
  <c r="F230" i="1"/>
  <c r="R230" i="1"/>
  <c r="J233" i="1"/>
  <c r="D44" i="2"/>
  <c r="C9" i="4" s="1"/>
  <c r="I10" i="5" s="1"/>
  <c r="N10" i="5" s="1"/>
  <c r="D207" i="2"/>
  <c r="H207" i="2"/>
  <c r="F221" i="2"/>
  <c r="F80" i="2"/>
  <c r="J224" i="2"/>
  <c r="J102" i="2"/>
  <c r="F59" i="2"/>
  <c r="J93" i="2"/>
  <c r="F132" i="2"/>
  <c r="J13" i="2"/>
  <c r="D266" i="2"/>
  <c r="J227" i="2"/>
  <c r="J211" i="2"/>
  <c r="F129" i="2"/>
  <c r="F117" i="2"/>
  <c r="J77" i="2"/>
  <c r="F74" i="2"/>
  <c r="J62" i="2"/>
  <c r="F48" i="2"/>
  <c r="F17" i="2"/>
  <c r="F245" i="2"/>
  <c r="J221" i="2"/>
  <c r="J215" i="2"/>
  <c r="F138" i="2"/>
  <c r="J135" i="2"/>
  <c r="J120" i="2"/>
  <c r="F106" i="2"/>
  <c r="J17" i="2"/>
  <c r="F164" i="2"/>
  <c r="F155" i="2"/>
  <c r="F190" i="2"/>
  <c r="J35" i="2"/>
  <c r="J178" i="2"/>
  <c r="J190" i="2"/>
  <c r="J96" i="2"/>
  <c r="J20" i="2"/>
  <c r="F211" i="2"/>
  <c r="J174" i="2"/>
  <c r="F89" i="2"/>
  <c r="F68" i="2"/>
  <c r="J218" i="2"/>
  <c r="F77" i="2"/>
  <c r="J41" i="2"/>
  <c r="J23" i="2"/>
  <c r="J186" i="2"/>
  <c r="J99" i="2"/>
  <c r="F71" i="2"/>
  <c r="F186" i="2"/>
  <c r="F135" i="2"/>
  <c r="J202" i="2"/>
  <c r="F144" i="2"/>
  <c r="F227" i="2"/>
  <c r="F123" i="2"/>
  <c r="F65" i="2"/>
  <c r="F29" i="2"/>
  <c r="J276" i="2"/>
  <c r="J259" i="2"/>
  <c r="F194" i="2"/>
  <c r="F174" i="2"/>
  <c r="J164" i="2"/>
  <c r="J155" i="2"/>
  <c r="J144" i="2"/>
  <c r="J114" i="2"/>
  <c r="F96" i="2"/>
  <c r="J86" i="2"/>
  <c r="J56" i="2"/>
  <c r="F38" i="2"/>
  <c r="J29" i="2"/>
  <c r="J194" i="2"/>
  <c r="F167" i="2"/>
  <c r="F158" i="2"/>
  <c r="F148" i="2"/>
  <c r="J129" i="2"/>
  <c r="J71" i="2"/>
  <c r="J38" i="2"/>
  <c r="F20" i="2"/>
  <c r="J138" i="2"/>
  <c r="J106" i="2"/>
  <c r="J80" i="2"/>
  <c r="J48" i="2"/>
  <c r="J245" i="2"/>
  <c r="F215" i="2"/>
  <c r="F141" i="2"/>
  <c r="J123" i="2"/>
  <c r="F110" i="2"/>
  <c r="F83" i="2"/>
  <c r="J65" i="2"/>
  <c r="F52" i="2"/>
  <c r="F32" i="2"/>
  <c r="F182" i="2"/>
  <c r="J167" i="2"/>
  <c r="J158" i="2"/>
  <c r="J148" i="2"/>
  <c r="F126" i="2"/>
  <c r="F99" i="2"/>
  <c r="F41" i="2"/>
  <c r="J32" i="2"/>
  <c r="F23" i="2"/>
  <c r="F198" i="2"/>
  <c r="J182" i="2"/>
  <c r="F161" i="2"/>
  <c r="F152" i="2"/>
  <c r="J117" i="2"/>
  <c r="J89" i="2"/>
  <c r="J74" i="2"/>
  <c r="J59" i="2"/>
  <c r="F224" i="2"/>
  <c r="J198" i="2"/>
  <c r="F202" i="2"/>
  <c r="J132" i="2"/>
  <c r="F120" i="2"/>
  <c r="F62" i="2"/>
  <c r="F170" i="2"/>
  <c r="J141" i="2"/>
  <c r="J110" i="2"/>
  <c r="J83" i="2"/>
  <c r="J52" i="2"/>
  <c r="F26" i="2"/>
  <c r="F13" i="2"/>
  <c r="F218" i="2"/>
  <c r="F178" i="2"/>
  <c r="J170" i="2"/>
  <c r="J161" i="2"/>
  <c r="J152" i="2"/>
  <c r="J126" i="2"/>
  <c r="F114" i="2"/>
  <c r="F102" i="2"/>
  <c r="F93" i="2"/>
  <c r="F86" i="2"/>
  <c r="J68" i="2"/>
  <c r="F56" i="2"/>
  <c r="F35" i="2"/>
  <c r="J26" i="2"/>
  <c r="D13" i="1"/>
  <c r="C7" i="3" s="1"/>
  <c r="D8" i="5" s="1"/>
  <c r="N8" i="5" s="1"/>
  <c r="C36" i="3" l="1"/>
  <c r="D37" i="5" s="1"/>
  <c r="C4" i="4"/>
  <c r="I5" i="5" s="1"/>
  <c r="I280" i="2"/>
  <c r="D50" i="4"/>
  <c r="J51" i="5" s="1"/>
  <c r="F259" i="2"/>
  <c r="C46" i="4"/>
  <c r="I47" i="5" s="1"/>
  <c r="F233" i="2"/>
  <c r="C36" i="4"/>
  <c r="I37" i="5" s="1"/>
  <c r="J233" i="2"/>
  <c r="D36" i="4"/>
  <c r="J37" i="5" s="1"/>
  <c r="O37" i="5" s="1"/>
  <c r="C5" i="4"/>
  <c r="I6" i="5" s="1"/>
  <c r="C48" i="4"/>
  <c r="I49" i="5" s="1"/>
  <c r="C10" i="4"/>
  <c r="I11" i="5" s="1"/>
  <c r="N11" i="5" s="1"/>
  <c r="D9" i="4"/>
  <c r="J10" i="5" s="1"/>
  <c r="O10" i="5" s="1"/>
  <c r="K53" i="5"/>
  <c r="P53" i="5" s="1"/>
  <c r="J53" i="5"/>
  <c r="E251" i="2"/>
  <c r="K7" i="5"/>
  <c r="P7" i="5" s="1"/>
  <c r="J7" i="5"/>
  <c r="J46" i="5"/>
  <c r="K46" i="5"/>
  <c r="P46" i="5" s="1"/>
  <c r="J5" i="5"/>
  <c r="I7" i="5"/>
  <c r="K52" i="5"/>
  <c r="P52" i="5" s="1"/>
  <c r="J52" i="5"/>
  <c r="F279" i="2"/>
  <c r="F5" i="2"/>
  <c r="F255" i="2"/>
  <c r="E267" i="2"/>
  <c r="I281" i="2"/>
  <c r="I285" i="2" s="1"/>
  <c r="J5" i="2"/>
  <c r="E268" i="2"/>
  <c r="E250" i="2"/>
  <c r="I268" i="2"/>
  <c r="E285" i="2"/>
  <c r="F276" i="2"/>
  <c r="J255" i="2"/>
  <c r="I267" i="2"/>
  <c r="H282" i="2"/>
  <c r="J272" i="2"/>
  <c r="E284" i="2"/>
  <c r="I284" i="2"/>
  <c r="D248" i="2"/>
  <c r="I250" i="2"/>
  <c r="I251" i="2"/>
  <c r="J263" i="2"/>
  <c r="J9" i="2"/>
  <c r="I45" i="2"/>
  <c r="D10" i="4" s="1"/>
  <c r="J11" i="5" s="1"/>
  <c r="O11" i="5" s="1"/>
  <c r="E207" i="2"/>
  <c r="C32" i="4" s="1"/>
  <c r="I207" i="2"/>
  <c r="D32" i="4" s="1"/>
  <c r="J33" i="5" s="1"/>
  <c r="F9" i="2"/>
  <c r="F233" i="1"/>
  <c r="F44" i="2"/>
  <c r="D9" i="1"/>
  <c r="C5" i="3" s="1"/>
  <c r="D6" i="5" s="1"/>
  <c r="D10" i="1"/>
  <c r="E10" i="1" s="1"/>
  <c r="D11" i="1"/>
  <c r="D5" i="1"/>
  <c r="C3" i="3" s="1"/>
  <c r="D4" i="5" s="1"/>
  <c r="N4" i="5" s="1"/>
  <c r="D6" i="1"/>
  <c r="D7" i="1"/>
  <c r="D14" i="1"/>
  <c r="D15" i="1"/>
  <c r="D17" i="1"/>
  <c r="D18" i="1"/>
  <c r="D19" i="1"/>
  <c r="D20" i="1"/>
  <c r="D21" i="1"/>
  <c r="D22" i="1"/>
  <c r="D23" i="1"/>
  <c r="D24" i="1"/>
  <c r="D25" i="1"/>
  <c r="D27" i="1"/>
  <c r="E27" i="1" s="1"/>
  <c r="D28" i="1"/>
  <c r="E28" i="1" s="1"/>
  <c r="D29" i="1"/>
  <c r="D30" i="1"/>
  <c r="E30" i="1" s="1"/>
  <c r="D31" i="1"/>
  <c r="E31" i="1" s="1"/>
  <c r="D32" i="1"/>
  <c r="D33" i="1"/>
  <c r="E33" i="1" s="1"/>
  <c r="D34" i="1"/>
  <c r="E34" i="1" s="1"/>
  <c r="D35" i="1"/>
  <c r="D37" i="1"/>
  <c r="E37" i="1" s="1"/>
  <c r="D38" i="1"/>
  <c r="D39" i="1"/>
  <c r="E39" i="1" s="1"/>
  <c r="D40" i="1"/>
  <c r="E40" i="1" s="1"/>
  <c r="D41" i="1"/>
  <c r="D42" i="1"/>
  <c r="E42" i="1" s="1"/>
  <c r="D43" i="1"/>
  <c r="E43" i="1" s="1"/>
  <c r="D48" i="1"/>
  <c r="C11" i="3" s="1"/>
  <c r="D12" i="5" s="1"/>
  <c r="N12" i="5" s="1"/>
  <c r="D49" i="1"/>
  <c r="E49" i="1" s="1"/>
  <c r="C12" i="3" s="1"/>
  <c r="D13" i="5" s="1"/>
  <c r="N13" i="5" s="1"/>
  <c r="D50" i="1"/>
  <c r="E50" i="1" s="1"/>
  <c r="D52" i="1"/>
  <c r="C13" i="3" s="1"/>
  <c r="D14" i="5" s="1"/>
  <c r="N14" i="5" s="1"/>
  <c r="D53" i="1"/>
  <c r="D54" i="1"/>
  <c r="E54" i="1" s="1"/>
  <c r="D57" i="1"/>
  <c r="E57" i="1" s="1"/>
  <c r="D58" i="1"/>
  <c r="E58" i="1" s="1"/>
  <c r="D59" i="1"/>
  <c r="D60" i="1"/>
  <c r="E60" i="1" s="1"/>
  <c r="D61" i="1"/>
  <c r="E61" i="1" s="1"/>
  <c r="D62" i="1"/>
  <c r="D63" i="1"/>
  <c r="E63" i="1" s="1"/>
  <c r="D64" i="1"/>
  <c r="E64" i="1" s="1"/>
  <c r="D65" i="1"/>
  <c r="D67" i="1"/>
  <c r="E67" i="1" s="1"/>
  <c r="D68" i="1"/>
  <c r="D69" i="1"/>
  <c r="E69" i="1" s="1"/>
  <c r="D70" i="1"/>
  <c r="E70" i="1" s="1"/>
  <c r="D71" i="1"/>
  <c r="D72" i="1"/>
  <c r="E72" i="1" s="1"/>
  <c r="D73" i="1"/>
  <c r="E73" i="1" s="1"/>
  <c r="D74" i="1"/>
  <c r="D75" i="1"/>
  <c r="E75" i="1" s="1"/>
  <c r="D77" i="1"/>
  <c r="D78" i="1"/>
  <c r="E78" i="1" s="1"/>
  <c r="D79" i="1"/>
  <c r="E79" i="1" s="1"/>
  <c r="D80" i="1"/>
  <c r="D81" i="1"/>
  <c r="E81" i="1" s="1"/>
  <c r="D82" i="1"/>
  <c r="E82" i="1" s="1"/>
  <c r="D83" i="1"/>
  <c r="D84" i="1"/>
  <c r="E84" i="1" s="1"/>
  <c r="D85" i="1"/>
  <c r="E85" i="1" s="1"/>
  <c r="D87" i="1"/>
  <c r="E87" i="1" s="1"/>
  <c r="D88" i="1"/>
  <c r="E88" i="1" s="1"/>
  <c r="D93" i="1"/>
  <c r="D94" i="1"/>
  <c r="E94" i="1" s="1"/>
  <c r="D95" i="1"/>
  <c r="E95" i="1" s="1"/>
  <c r="D107" i="1"/>
  <c r="E107" i="1" s="1"/>
  <c r="D108" i="1"/>
  <c r="E108" i="1" s="1"/>
  <c r="D110" i="1"/>
  <c r="C21" i="3" s="1"/>
  <c r="D22" i="5" s="1"/>
  <c r="N22" i="5" s="1"/>
  <c r="D111" i="1"/>
  <c r="E111" i="1" s="1"/>
  <c r="D112" i="1"/>
  <c r="E112" i="1" s="1"/>
  <c r="D114" i="1"/>
  <c r="D115" i="1"/>
  <c r="E115" i="1" s="1"/>
  <c r="D117" i="1"/>
  <c r="D118" i="1"/>
  <c r="E118" i="1" s="1"/>
  <c r="D119" i="1"/>
  <c r="E119" i="1" s="1"/>
  <c r="D120" i="1"/>
  <c r="D121" i="1"/>
  <c r="E121" i="1" s="1"/>
  <c r="D122" i="1"/>
  <c r="E122" i="1" s="1"/>
  <c r="D123" i="1"/>
  <c r="D124" i="1"/>
  <c r="E124" i="1" s="1"/>
  <c r="D125" i="1"/>
  <c r="E125" i="1" s="1"/>
  <c r="D127" i="1"/>
  <c r="E127" i="1" s="1"/>
  <c r="D128" i="1"/>
  <c r="E128" i="1" s="1"/>
  <c r="D129" i="1"/>
  <c r="D130" i="1"/>
  <c r="E130" i="1" s="1"/>
  <c r="D131" i="1"/>
  <c r="E131" i="1" s="1"/>
  <c r="D132" i="1"/>
  <c r="D133" i="1"/>
  <c r="E133" i="1" s="1"/>
  <c r="D134" i="1"/>
  <c r="E134" i="1" s="1"/>
  <c r="D135" i="1"/>
  <c r="D137" i="1"/>
  <c r="E137" i="1" s="1"/>
  <c r="D138" i="1"/>
  <c r="D139" i="1"/>
  <c r="E139" i="1" s="1"/>
  <c r="D140" i="1"/>
  <c r="E140" i="1" s="1"/>
  <c r="D141" i="1"/>
  <c r="D142" i="1"/>
  <c r="E142" i="1" s="1"/>
  <c r="D143" i="1"/>
  <c r="E143" i="1" s="1"/>
  <c r="D144" i="1"/>
  <c r="C23" i="3" s="1"/>
  <c r="D24" i="5" s="1"/>
  <c r="N24" i="5" s="1"/>
  <c r="D145" i="1"/>
  <c r="E145" i="1" s="1"/>
  <c r="D148" i="1"/>
  <c r="C25" i="3" s="1"/>
  <c r="D26" i="5" s="1"/>
  <c r="N26" i="5" s="1"/>
  <c r="D149" i="1"/>
  <c r="E149" i="1" s="1"/>
  <c r="C26" i="3" s="1"/>
  <c r="D27" i="5" s="1"/>
  <c r="N27" i="5" s="1"/>
  <c r="D150" i="1"/>
  <c r="E150" i="1" s="1"/>
  <c r="D152" i="1"/>
  <c r="D153" i="1"/>
  <c r="E153" i="1" s="1"/>
  <c r="D154" i="1"/>
  <c r="E154" i="1" s="1"/>
  <c r="D155" i="1"/>
  <c r="D157" i="1"/>
  <c r="E157" i="1" s="1"/>
  <c r="D158" i="1"/>
  <c r="D159" i="1"/>
  <c r="E159" i="1" s="1"/>
  <c r="D160" i="1"/>
  <c r="E160" i="1" s="1"/>
  <c r="D161" i="1"/>
  <c r="D162" i="1"/>
  <c r="E162" i="1" s="1"/>
  <c r="D163" i="1"/>
  <c r="E163" i="1" s="1"/>
  <c r="D164" i="1"/>
  <c r="D165" i="1"/>
  <c r="E165" i="1" s="1"/>
  <c r="D167" i="1"/>
  <c r="D168" i="1"/>
  <c r="E168" i="1" s="1"/>
  <c r="D169" i="1"/>
  <c r="E169" i="1" s="1"/>
  <c r="D170" i="1"/>
  <c r="C27" i="3" s="1"/>
  <c r="D28" i="5" s="1"/>
  <c r="N28" i="5" s="1"/>
  <c r="D171" i="1"/>
  <c r="E171" i="1" s="1"/>
  <c r="D172" i="1"/>
  <c r="E172" i="1" s="1"/>
  <c r="D174" i="1"/>
  <c r="C29" i="3" s="1"/>
  <c r="D30" i="5" s="1"/>
  <c r="N30" i="5" s="1"/>
  <c r="D175" i="1"/>
  <c r="E175" i="1" s="1"/>
  <c r="C30" i="3" s="1"/>
  <c r="D31" i="5" s="1"/>
  <c r="N31" i="5" s="1"/>
  <c r="E183" i="1"/>
  <c r="E184" i="1"/>
  <c r="E185" i="1"/>
  <c r="E203" i="1"/>
  <c r="E204" i="1"/>
  <c r="E205" i="1"/>
  <c r="E191" i="1"/>
  <c r="E192" i="1"/>
  <c r="E193" i="1"/>
  <c r="E195" i="1"/>
  <c r="E196" i="1"/>
  <c r="E197" i="1"/>
  <c r="E187" i="1"/>
  <c r="F186" i="1" s="1"/>
  <c r="D207" i="1"/>
  <c r="D249" i="1" s="1"/>
  <c r="D283" i="1" s="1"/>
  <c r="D208" i="1"/>
  <c r="E208" i="1" s="1"/>
  <c r="D209" i="1"/>
  <c r="E209" i="1" s="1"/>
  <c r="D211" i="1"/>
  <c r="C33" i="3" s="1"/>
  <c r="D34" i="5" s="1"/>
  <c r="N34" i="5" s="1"/>
  <c r="D212" i="1"/>
  <c r="E212" i="1" s="1"/>
  <c r="C34" i="3" s="1"/>
  <c r="D35" i="5" s="1"/>
  <c r="N35" i="5" s="1"/>
  <c r="D213" i="1"/>
  <c r="E213" i="1" s="1"/>
  <c r="D215" i="1"/>
  <c r="D217" i="1"/>
  <c r="E217" i="1" s="1"/>
  <c r="D218" i="1"/>
  <c r="D219" i="1"/>
  <c r="E219" i="1" s="1"/>
  <c r="D220" i="1"/>
  <c r="E220" i="1" s="1"/>
  <c r="D221" i="1"/>
  <c r="D222" i="1"/>
  <c r="E222" i="1" s="1"/>
  <c r="D223" i="1"/>
  <c r="E223" i="1" s="1"/>
  <c r="D224" i="1"/>
  <c r="D225" i="1"/>
  <c r="E225" i="1" s="1"/>
  <c r="D227" i="1"/>
  <c r="D228" i="1"/>
  <c r="E228" i="1" s="1"/>
  <c r="D229" i="1"/>
  <c r="E229" i="1" s="1"/>
  <c r="D237" i="1"/>
  <c r="C37" i="3" s="1"/>
  <c r="D38" i="5" s="1"/>
  <c r="N38" i="5" s="1"/>
  <c r="D238" i="1"/>
  <c r="E238" i="1" s="1"/>
  <c r="D239" i="1"/>
  <c r="E239" i="1" s="1"/>
  <c r="D241" i="1"/>
  <c r="C39" i="3" s="1"/>
  <c r="D40" i="5" s="1"/>
  <c r="N40" i="5" s="1"/>
  <c r="D242" i="1"/>
  <c r="E242" i="1" s="1"/>
  <c r="D243" i="1"/>
  <c r="E243" i="1" s="1"/>
  <c r="D245" i="1"/>
  <c r="C41" i="3" s="1"/>
  <c r="D42" i="5" s="1"/>
  <c r="N42" i="5" s="1"/>
  <c r="D246" i="1"/>
  <c r="E246" i="1" s="1"/>
  <c r="D247" i="1"/>
  <c r="E247" i="1" s="1"/>
  <c r="D255" i="1"/>
  <c r="C43" i="3" s="1"/>
  <c r="D44" i="5" s="1"/>
  <c r="N44" i="5" s="1"/>
  <c r="D256" i="1"/>
  <c r="D257" i="1"/>
  <c r="D259" i="1"/>
  <c r="C45" i="3" s="1"/>
  <c r="D46" i="5" s="1"/>
  <c r="N46" i="5" s="1"/>
  <c r="D260" i="1"/>
  <c r="E260" i="1" s="1"/>
  <c r="D261" i="1"/>
  <c r="E261" i="1" s="1"/>
  <c r="D263" i="1"/>
  <c r="C47" i="3" s="1"/>
  <c r="D48" i="5" s="1"/>
  <c r="N48" i="5" s="1"/>
  <c r="D264" i="1"/>
  <c r="E264" i="1" s="1"/>
  <c r="D265" i="1"/>
  <c r="E265" i="1" s="1"/>
  <c r="D272" i="1"/>
  <c r="C49" i="3" s="1"/>
  <c r="D50" i="5" s="1"/>
  <c r="N50" i="5" s="1"/>
  <c r="D273" i="1"/>
  <c r="D280" i="1" s="1"/>
  <c r="D274" i="1"/>
  <c r="D281" i="1" s="1"/>
  <c r="D276" i="1"/>
  <c r="C51" i="3" s="1"/>
  <c r="D52" i="5" s="1"/>
  <c r="N52" i="5" s="1"/>
  <c r="D277" i="1"/>
  <c r="E277" i="1" s="1"/>
  <c r="C52" i="3" s="1"/>
  <c r="D53" i="5" s="1"/>
  <c r="N53" i="5" s="1"/>
  <c r="N37" i="5" l="1"/>
  <c r="N6" i="5"/>
  <c r="D53" i="4"/>
  <c r="I33" i="5"/>
  <c r="C53" i="4"/>
  <c r="K5" i="5"/>
  <c r="P5" i="5" s="1"/>
  <c r="J266" i="2"/>
  <c r="J282" i="2"/>
  <c r="K32" i="5"/>
  <c r="P32" i="5" s="1"/>
  <c r="J32" i="5"/>
  <c r="C46" i="3"/>
  <c r="D47" i="5" s="1"/>
  <c r="N47" i="5" s="1"/>
  <c r="C28" i="3"/>
  <c r="D29" i="5" s="1"/>
  <c r="N29" i="5" s="1"/>
  <c r="C22" i="3"/>
  <c r="D23" i="5" s="1"/>
  <c r="N23" i="5" s="1"/>
  <c r="C42" i="3"/>
  <c r="D43" i="5" s="1"/>
  <c r="N43" i="5" s="1"/>
  <c r="C20" i="3"/>
  <c r="D21" i="5" s="1"/>
  <c r="N21" i="5" s="1"/>
  <c r="C48" i="3"/>
  <c r="D49" i="5" s="1"/>
  <c r="N49" i="5" s="1"/>
  <c r="C40" i="3"/>
  <c r="D41" i="5" s="1"/>
  <c r="N41" i="5" s="1"/>
  <c r="C38" i="3"/>
  <c r="D39" i="5" s="1"/>
  <c r="N39" i="5" s="1"/>
  <c r="F266" i="2"/>
  <c r="D279" i="1"/>
  <c r="E257" i="1"/>
  <c r="E268" i="1" s="1"/>
  <c r="D268" i="1"/>
  <c r="E256" i="1"/>
  <c r="D267" i="1"/>
  <c r="D266" i="1"/>
  <c r="D248" i="1"/>
  <c r="D282" i="1" s="1"/>
  <c r="J279" i="2"/>
  <c r="D282" i="2"/>
  <c r="F282" i="2" s="1"/>
  <c r="F248" i="2"/>
  <c r="J44" i="2"/>
  <c r="E273" i="1"/>
  <c r="F126" i="1"/>
  <c r="F206" i="2"/>
  <c r="J206" i="2"/>
  <c r="D89" i="1"/>
  <c r="C15" i="3" s="1"/>
  <c r="D16" i="5" s="1"/>
  <c r="N16" i="5" s="1"/>
  <c r="D90" i="1"/>
  <c r="D91" i="1"/>
  <c r="F74" i="1"/>
  <c r="F224" i="1"/>
  <c r="F164" i="1"/>
  <c r="F174" i="1"/>
  <c r="F56" i="1"/>
  <c r="D146" i="1"/>
  <c r="E146" i="1" s="1"/>
  <c r="F144" i="1" s="1"/>
  <c r="D104" i="1"/>
  <c r="E104" i="1" s="1"/>
  <c r="F86" i="1"/>
  <c r="D103" i="1"/>
  <c r="E103" i="1" s="1"/>
  <c r="F26" i="1"/>
  <c r="D102" i="1"/>
  <c r="C17" i="3" s="1"/>
  <c r="D18" i="5" s="1"/>
  <c r="N18" i="5" s="1"/>
  <c r="F215" i="1"/>
  <c r="F135" i="1"/>
  <c r="D206" i="1"/>
  <c r="C31" i="3" s="1"/>
  <c r="D32" i="5" s="1"/>
  <c r="N32" i="5" s="1"/>
  <c r="P206" i="1"/>
  <c r="F31" i="3" s="1"/>
  <c r="G32" i="5" s="1"/>
  <c r="F106" i="1"/>
  <c r="F190" i="1"/>
  <c r="F155" i="1"/>
  <c r="F114" i="1"/>
  <c r="F65" i="1"/>
  <c r="F35" i="1"/>
  <c r="F276" i="1"/>
  <c r="E22" i="1"/>
  <c r="E21" i="1"/>
  <c r="E18" i="1"/>
  <c r="E19" i="1"/>
  <c r="E15" i="1"/>
  <c r="E14" i="1"/>
  <c r="E7" i="1"/>
  <c r="E25" i="1"/>
  <c r="E6" i="1"/>
  <c r="E24" i="1"/>
  <c r="E11" i="1"/>
  <c r="C6" i="3" s="1"/>
  <c r="D7" i="5" s="1"/>
  <c r="N7" i="5" s="1"/>
  <c r="F62" i="1"/>
  <c r="F167" i="1"/>
  <c r="F259" i="1"/>
  <c r="F221" i="1"/>
  <c r="E207" i="1"/>
  <c r="C32" i="3" s="1"/>
  <c r="D33" i="5" s="1"/>
  <c r="F32" i="1"/>
  <c r="F129" i="1"/>
  <c r="F194" i="1"/>
  <c r="F120" i="1"/>
  <c r="F68" i="1"/>
  <c r="F41" i="1"/>
  <c r="F161" i="1"/>
  <c r="F77" i="1"/>
  <c r="F152" i="1"/>
  <c r="F148" i="1"/>
  <c r="F141" i="1"/>
  <c r="F110" i="1"/>
  <c r="F237" i="1"/>
  <c r="F158" i="1"/>
  <c r="F93" i="1"/>
  <c r="F263" i="1"/>
  <c r="F211" i="1"/>
  <c r="F38" i="1"/>
  <c r="F245" i="1"/>
  <c r="E53" i="1"/>
  <c r="C14" i="3" s="1"/>
  <c r="D15" i="5" s="1"/>
  <c r="N15" i="5" s="1"/>
  <c r="F138" i="1"/>
  <c r="F182" i="1"/>
  <c r="F117" i="1"/>
  <c r="F218" i="1"/>
  <c r="F83" i="1"/>
  <c r="F227" i="1"/>
  <c r="F71" i="1"/>
  <c r="F241" i="1"/>
  <c r="F123" i="1"/>
  <c r="F80" i="1"/>
  <c r="F48" i="1"/>
  <c r="F170" i="1"/>
  <c r="F132" i="1"/>
  <c r="F59" i="1"/>
  <c r="F202" i="1"/>
  <c r="F29" i="1"/>
  <c r="E274" i="1"/>
  <c r="E281" i="1" s="1"/>
  <c r="N33" i="5" l="1"/>
  <c r="C4" i="3"/>
  <c r="D5" i="5" s="1"/>
  <c r="N5" i="5" s="1"/>
  <c r="C50" i="3"/>
  <c r="D51" i="5" s="1"/>
  <c r="N51" i="5" s="1"/>
  <c r="O32" i="5"/>
  <c r="C8" i="3"/>
  <c r="D9" i="5" s="1"/>
  <c r="N9" i="5" s="1"/>
  <c r="C24" i="3"/>
  <c r="D25" i="5" s="1"/>
  <c r="N25" i="5" s="1"/>
  <c r="F255" i="1"/>
  <c r="C44" i="3"/>
  <c r="D45" i="5" s="1"/>
  <c r="N45" i="5" s="1"/>
  <c r="C18" i="3"/>
  <c r="D19" i="5" s="1"/>
  <c r="N19" i="5" s="1"/>
  <c r="E280" i="1"/>
  <c r="F279" i="1" s="1"/>
  <c r="E267" i="1"/>
  <c r="F266" i="1" s="1"/>
  <c r="E91" i="1"/>
  <c r="E251" i="1" s="1"/>
  <c r="E285" i="1" s="1"/>
  <c r="D251" i="1"/>
  <c r="D285" i="1" s="1"/>
  <c r="E249" i="1"/>
  <c r="E283" i="1" s="1"/>
  <c r="E90" i="1"/>
  <c r="C16" i="3" s="1"/>
  <c r="D17" i="5" s="1"/>
  <c r="N17" i="5" s="1"/>
  <c r="D250" i="1"/>
  <c r="D284" i="1" s="1"/>
  <c r="J248" i="2"/>
  <c r="F17" i="1"/>
  <c r="F20" i="1"/>
  <c r="F102" i="1"/>
  <c r="F206" i="1"/>
  <c r="F5" i="1"/>
  <c r="F9" i="1"/>
  <c r="F13" i="1"/>
  <c r="F23" i="1"/>
  <c r="F52" i="1"/>
  <c r="F272" i="1"/>
  <c r="D54" i="5" l="1"/>
  <c r="F89" i="1"/>
  <c r="E250" i="1"/>
  <c r="C53" i="3" l="1"/>
  <c r="F248" i="1"/>
  <c r="E284" i="1"/>
  <c r="F282" i="1" s="1"/>
  <c r="H15" i="1"/>
  <c r="H14" i="1"/>
  <c r="H13" i="1"/>
  <c r="D7" i="3" s="1"/>
  <c r="E8" i="5" s="1"/>
  <c r="O8" i="5" s="1"/>
  <c r="I14" i="1" l="1"/>
  <c r="I15" i="1"/>
  <c r="D8" i="3" l="1"/>
  <c r="E9" i="5" s="1"/>
  <c r="O9" i="5" s="1"/>
  <c r="H102" i="1"/>
  <c r="D17" i="3" s="1"/>
  <c r="E18" i="5" s="1"/>
  <c r="O18" i="5" s="1"/>
  <c r="P102" i="1"/>
  <c r="F17" i="3" s="1"/>
  <c r="G18" i="5" s="1"/>
  <c r="H104" i="1"/>
  <c r="I104" i="1" s="1"/>
  <c r="P104" i="1"/>
  <c r="Q104" i="1" s="1"/>
  <c r="H103" i="1"/>
  <c r="I103" i="1" s="1"/>
  <c r="D18" i="3" s="1"/>
  <c r="E19" i="5" s="1"/>
  <c r="O19" i="5" s="1"/>
  <c r="P103" i="1"/>
  <c r="Q103" i="1" s="1"/>
  <c r="F18" i="3" s="1"/>
  <c r="G19" i="5" s="1"/>
  <c r="H146" i="1"/>
  <c r="I146" i="1" s="1"/>
  <c r="P146" i="1"/>
  <c r="Q146" i="1" s="1"/>
  <c r="R102" i="1" l="1"/>
  <c r="J102" i="1"/>
  <c r="H160" i="1"/>
  <c r="H161" i="1"/>
  <c r="H164" i="1"/>
  <c r="H165" i="1"/>
  <c r="H167" i="1"/>
  <c r="H168" i="1"/>
  <c r="H77" i="1"/>
  <c r="H78" i="1"/>
  <c r="I78" i="1" s="1"/>
  <c r="H79" i="1"/>
  <c r="I79" i="1" s="1"/>
  <c r="H80" i="1"/>
  <c r="H81" i="1"/>
  <c r="I81" i="1" s="1"/>
  <c r="H82" i="1"/>
  <c r="I82" i="1" s="1"/>
  <c r="H83" i="1"/>
  <c r="H9" i="1"/>
  <c r="D5" i="3" s="1"/>
  <c r="E6" i="5" s="1"/>
  <c r="O6" i="5" s="1"/>
  <c r="H5" i="1"/>
  <c r="D3" i="3" l="1"/>
  <c r="E4" i="5" s="1"/>
  <c r="O4" i="5" s="1"/>
  <c r="J80" i="1"/>
  <c r="J77" i="1"/>
  <c r="R53" i="5" l="1"/>
  <c r="R51" i="5"/>
  <c r="R49" i="5"/>
  <c r="R47" i="5"/>
  <c r="R45" i="5"/>
  <c r="R43" i="5"/>
  <c r="R41" i="5"/>
  <c r="R39" i="5"/>
  <c r="R37" i="5"/>
  <c r="R35" i="5"/>
  <c r="R33" i="5"/>
  <c r="R31" i="5"/>
  <c r="R29" i="5"/>
  <c r="R27" i="5"/>
  <c r="R25" i="5"/>
  <c r="R23" i="5"/>
  <c r="R21" i="5"/>
  <c r="R19" i="5"/>
  <c r="R17" i="5"/>
  <c r="R15" i="5"/>
  <c r="R13" i="5"/>
  <c r="R11" i="5"/>
  <c r="R9" i="5"/>
  <c r="R5" i="5"/>
  <c r="R7" i="5"/>
  <c r="P278" i="2"/>
  <c r="Q278" i="2" s="1"/>
  <c r="P277" i="2"/>
  <c r="Q277" i="2" s="1"/>
  <c r="P276" i="2"/>
  <c r="P274" i="2"/>
  <c r="P281" i="2" s="1"/>
  <c r="P265" i="2"/>
  <c r="P264" i="2"/>
  <c r="Q264" i="2" s="1"/>
  <c r="P263" i="2"/>
  <c r="P261" i="2"/>
  <c r="Q261" i="2" s="1"/>
  <c r="F48" i="4" s="1"/>
  <c r="L49" i="5" s="1"/>
  <c r="P260" i="2"/>
  <c r="F47" i="4" s="1"/>
  <c r="L48" i="5" s="1"/>
  <c r="P259" i="2"/>
  <c r="P255" i="2"/>
  <c r="P247" i="2"/>
  <c r="Q247" i="2" s="1"/>
  <c r="P246" i="2"/>
  <c r="Q246" i="2" s="1"/>
  <c r="P245" i="2"/>
  <c r="P233" i="2"/>
  <c r="P229" i="2"/>
  <c r="Q229" i="2" s="1"/>
  <c r="P228" i="2"/>
  <c r="Q228" i="2" s="1"/>
  <c r="P227" i="2"/>
  <c r="P226" i="2"/>
  <c r="Q226" i="2" s="1"/>
  <c r="P225" i="2"/>
  <c r="Q225" i="2" s="1"/>
  <c r="P224" i="2"/>
  <c r="P223" i="2"/>
  <c r="Q223" i="2" s="1"/>
  <c r="P222" i="2"/>
  <c r="Q222" i="2" s="1"/>
  <c r="P221" i="2"/>
  <c r="P220" i="2"/>
  <c r="Q220" i="2" s="1"/>
  <c r="P219" i="2"/>
  <c r="Q219" i="2" s="1"/>
  <c r="P218" i="2"/>
  <c r="P217" i="2"/>
  <c r="Q217" i="2" s="1"/>
  <c r="P216" i="2"/>
  <c r="Q216" i="2" s="1"/>
  <c r="P215" i="2"/>
  <c r="P213" i="2"/>
  <c r="Q213" i="2" s="1"/>
  <c r="P212" i="2"/>
  <c r="Q212" i="2" s="1"/>
  <c r="F34" i="4" s="1"/>
  <c r="L35" i="5" s="1"/>
  <c r="P211" i="2"/>
  <c r="F33" i="4" s="1"/>
  <c r="L34" i="5" s="1"/>
  <c r="P181" i="2"/>
  <c r="Q181" i="2" s="1"/>
  <c r="P180" i="2"/>
  <c r="Q180" i="2" s="1"/>
  <c r="P179" i="2"/>
  <c r="Q179" i="2" s="1"/>
  <c r="P178" i="2"/>
  <c r="P201" i="2"/>
  <c r="Q201" i="2" s="1"/>
  <c r="P200" i="2"/>
  <c r="Q200" i="2" s="1"/>
  <c r="P199" i="2"/>
  <c r="Q199" i="2" s="1"/>
  <c r="P198" i="2"/>
  <c r="P189" i="2"/>
  <c r="Q189" i="2" s="1"/>
  <c r="P188" i="2"/>
  <c r="Q188" i="2" s="1"/>
  <c r="P187" i="2"/>
  <c r="Q187" i="2" s="1"/>
  <c r="P186" i="2"/>
  <c r="P197" i="2"/>
  <c r="Q197" i="2" s="1"/>
  <c r="P196" i="2"/>
  <c r="Q196" i="2" s="1"/>
  <c r="P195" i="2"/>
  <c r="Q195" i="2" s="1"/>
  <c r="P194" i="2"/>
  <c r="P193" i="2"/>
  <c r="Q193" i="2" s="1"/>
  <c r="P192" i="2"/>
  <c r="Q192" i="2" s="1"/>
  <c r="P191" i="2"/>
  <c r="Q191" i="2" s="1"/>
  <c r="P190" i="2"/>
  <c r="P205" i="2"/>
  <c r="Q205" i="2" s="1"/>
  <c r="P204" i="2"/>
  <c r="Q204" i="2" s="1"/>
  <c r="P203" i="2"/>
  <c r="P202" i="2"/>
  <c r="P185" i="2"/>
  <c r="Q185" i="2" s="1"/>
  <c r="P184" i="2"/>
  <c r="Q184" i="2" s="1"/>
  <c r="P183" i="2"/>
  <c r="Q183" i="2" s="1"/>
  <c r="P182" i="2"/>
  <c r="P176" i="2"/>
  <c r="Q176" i="2" s="1"/>
  <c r="P175" i="2"/>
  <c r="Q175" i="2" s="1"/>
  <c r="P174" i="2"/>
  <c r="F29" i="4" s="1"/>
  <c r="L30" i="5" s="1"/>
  <c r="P169" i="2"/>
  <c r="Q169" i="2" s="1"/>
  <c r="P168" i="2"/>
  <c r="Q168" i="2" s="1"/>
  <c r="P167" i="2"/>
  <c r="P166" i="2"/>
  <c r="Q166" i="2" s="1"/>
  <c r="P165" i="2"/>
  <c r="Q165" i="2" s="1"/>
  <c r="P164" i="2"/>
  <c r="P163" i="2"/>
  <c r="Q163" i="2" s="1"/>
  <c r="P162" i="2"/>
  <c r="Q162" i="2" s="1"/>
  <c r="P161" i="2"/>
  <c r="P160" i="2"/>
  <c r="Q160" i="2" s="1"/>
  <c r="P159" i="2"/>
  <c r="Q159" i="2" s="1"/>
  <c r="P158" i="2"/>
  <c r="P157" i="2"/>
  <c r="Q157" i="2" s="1"/>
  <c r="P156" i="2"/>
  <c r="Q156" i="2" s="1"/>
  <c r="P155" i="2"/>
  <c r="P154" i="2"/>
  <c r="Q154" i="2" s="1"/>
  <c r="P153" i="2"/>
  <c r="Q153" i="2" s="1"/>
  <c r="P152" i="2"/>
  <c r="P150" i="2"/>
  <c r="Q150" i="2" s="1"/>
  <c r="P149" i="2"/>
  <c r="Q149" i="2" s="1"/>
  <c r="F26" i="4" s="1"/>
  <c r="L27" i="5" s="1"/>
  <c r="P148" i="2"/>
  <c r="F25" i="4" s="1"/>
  <c r="L26" i="5" s="1"/>
  <c r="P143" i="2"/>
  <c r="Q143" i="2" s="1"/>
  <c r="P142" i="2"/>
  <c r="Q142" i="2" s="1"/>
  <c r="P141" i="2"/>
  <c r="P140" i="2"/>
  <c r="Q140" i="2" s="1"/>
  <c r="P139" i="2"/>
  <c r="Q139" i="2" s="1"/>
  <c r="P138" i="2"/>
  <c r="P137" i="2"/>
  <c r="Q137" i="2" s="1"/>
  <c r="P136" i="2"/>
  <c r="Q136" i="2" s="1"/>
  <c r="P135" i="2"/>
  <c r="P134" i="2"/>
  <c r="Q134" i="2" s="1"/>
  <c r="P133" i="2"/>
  <c r="Q133" i="2" s="1"/>
  <c r="P132" i="2"/>
  <c r="P131" i="2"/>
  <c r="Q131" i="2" s="1"/>
  <c r="P130" i="2"/>
  <c r="Q130" i="2" s="1"/>
  <c r="P129" i="2"/>
  <c r="P128" i="2"/>
  <c r="Q128" i="2" s="1"/>
  <c r="P127" i="2"/>
  <c r="Q127" i="2" s="1"/>
  <c r="P126" i="2"/>
  <c r="P125" i="2"/>
  <c r="Q125" i="2" s="1"/>
  <c r="P124" i="2"/>
  <c r="Q124" i="2" s="1"/>
  <c r="P123" i="2"/>
  <c r="P122" i="2"/>
  <c r="Q122" i="2" s="1"/>
  <c r="P121" i="2"/>
  <c r="Q121" i="2" s="1"/>
  <c r="P120" i="2"/>
  <c r="P119" i="2"/>
  <c r="Q119" i="2" s="1"/>
  <c r="P118" i="2"/>
  <c r="Q118" i="2" s="1"/>
  <c r="P117" i="2"/>
  <c r="P116" i="2"/>
  <c r="Q116" i="2" s="1"/>
  <c r="P115" i="2"/>
  <c r="Q115" i="2" s="1"/>
  <c r="P114" i="2"/>
  <c r="P112" i="2"/>
  <c r="Q112" i="2" s="1"/>
  <c r="P111" i="2"/>
  <c r="Q111" i="2" s="1"/>
  <c r="P110" i="2"/>
  <c r="F21" i="4" s="1"/>
  <c r="L22" i="5" s="1"/>
  <c r="P108" i="2"/>
  <c r="Q108" i="2" s="1"/>
  <c r="P107" i="2"/>
  <c r="Q107" i="2" s="1"/>
  <c r="F20" i="4" s="1"/>
  <c r="L21" i="5" s="1"/>
  <c r="P106" i="2"/>
  <c r="F19" i="4" s="1"/>
  <c r="L20" i="5" s="1"/>
  <c r="P101" i="2"/>
  <c r="Q101" i="2" s="1"/>
  <c r="P100" i="2"/>
  <c r="Q100" i="2" s="1"/>
  <c r="P99" i="2"/>
  <c r="P98" i="2"/>
  <c r="Q98" i="2" s="1"/>
  <c r="P97" i="2"/>
  <c r="Q97" i="2" s="1"/>
  <c r="P96" i="2"/>
  <c r="P95" i="2"/>
  <c r="Q95" i="2" s="1"/>
  <c r="P94" i="2"/>
  <c r="Q94" i="2" s="1"/>
  <c r="P93" i="2"/>
  <c r="P91" i="2"/>
  <c r="Q91" i="2" s="1"/>
  <c r="P88" i="2"/>
  <c r="Q88" i="2" s="1"/>
  <c r="P87" i="2"/>
  <c r="Q87" i="2" s="1"/>
  <c r="P86" i="2"/>
  <c r="P85" i="2"/>
  <c r="Q85" i="2" s="1"/>
  <c r="P84" i="2"/>
  <c r="Q84" i="2" s="1"/>
  <c r="P83" i="2"/>
  <c r="P82" i="2"/>
  <c r="Q82" i="2" s="1"/>
  <c r="P81" i="2"/>
  <c r="Q81" i="2" s="1"/>
  <c r="P80" i="2"/>
  <c r="P79" i="2"/>
  <c r="Q79" i="2" s="1"/>
  <c r="P78" i="2"/>
  <c r="Q78" i="2" s="1"/>
  <c r="P77" i="2"/>
  <c r="P76" i="2"/>
  <c r="Q76" i="2" s="1"/>
  <c r="P75" i="2"/>
  <c r="Q75" i="2" s="1"/>
  <c r="P74" i="2"/>
  <c r="P73" i="2"/>
  <c r="Q73" i="2" s="1"/>
  <c r="P72" i="2"/>
  <c r="Q72" i="2" s="1"/>
  <c r="P71" i="2"/>
  <c r="P70" i="2"/>
  <c r="Q70" i="2" s="1"/>
  <c r="P69" i="2"/>
  <c r="Q69" i="2" s="1"/>
  <c r="P68" i="2"/>
  <c r="P67" i="2"/>
  <c r="Q67" i="2" s="1"/>
  <c r="P66" i="2"/>
  <c r="Q66" i="2" s="1"/>
  <c r="P65" i="2"/>
  <c r="P64" i="2"/>
  <c r="Q64" i="2" s="1"/>
  <c r="P63" i="2"/>
  <c r="Q63" i="2" s="1"/>
  <c r="P62" i="2"/>
  <c r="P61" i="2"/>
  <c r="Q61" i="2" s="1"/>
  <c r="P60" i="2"/>
  <c r="Q60" i="2" s="1"/>
  <c r="P59" i="2"/>
  <c r="P58" i="2"/>
  <c r="Q58" i="2" s="1"/>
  <c r="P57" i="2"/>
  <c r="Q57" i="2" s="1"/>
  <c r="P56" i="2"/>
  <c r="P54" i="2"/>
  <c r="Q54" i="2" s="1"/>
  <c r="P53" i="2"/>
  <c r="Q53" i="2" s="1"/>
  <c r="P52" i="2"/>
  <c r="F13" i="4" s="1"/>
  <c r="L14" i="5" s="1"/>
  <c r="P50" i="2"/>
  <c r="Q50" i="2" s="1"/>
  <c r="P49" i="2"/>
  <c r="Q49" i="2" s="1"/>
  <c r="P43" i="2"/>
  <c r="Q43" i="2" s="1"/>
  <c r="P42" i="2"/>
  <c r="Q42" i="2" s="1"/>
  <c r="P41" i="2"/>
  <c r="P40" i="2"/>
  <c r="Q40" i="2" s="1"/>
  <c r="P39" i="2"/>
  <c r="Q39" i="2" s="1"/>
  <c r="P38" i="2"/>
  <c r="P37" i="2"/>
  <c r="Q37" i="2" s="1"/>
  <c r="P36" i="2"/>
  <c r="Q36" i="2" s="1"/>
  <c r="P35" i="2"/>
  <c r="P34" i="2"/>
  <c r="Q34" i="2" s="1"/>
  <c r="P33" i="2"/>
  <c r="Q33" i="2" s="1"/>
  <c r="P32" i="2"/>
  <c r="P31" i="2"/>
  <c r="Q31" i="2" s="1"/>
  <c r="P30" i="2"/>
  <c r="Q30" i="2" s="1"/>
  <c r="P29" i="2"/>
  <c r="P28" i="2"/>
  <c r="Q28" i="2" s="1"/>
  <c r="P27" i="2"/>
  <c r="Q27" i="2" s="1"/>
  <c r="P26" i="2"/>
  <c r="P25" i="2"/>
  <c r="Q25" i="2" s="1"/>
  <c r="P24" i="2"/>
  <c r="Q24" i="2" s="1"/>
  <c r="P23" i="2"/>
  <c r="P22" i="2"/>
  <c r="Q22" i="2" s="1"/>
  <c r="P21" i="2"/>
  <c r="Q21" i="2" s="1"/>
  <c r="P20" i="2"/>
  <c r="P19" i="2"/>
  <c r="Q19" i="2" s="1"/>
  <c r="P18" i="2"/>
  <c r="Q18" i="2" s="1"/>
  <c r="P17" i="2"/>
  <c r="P15" i="2"/>
  <c r="Q15" i="2" s="1"/>
  <c r="P14" i="2"/>
  <c r="Q14" i="2" s="1"/>
  <c r="P13" i="2"/>
  <c r="F7" i="4" s="1"/>
  <c r="L8" i="5" s="1"/>
  <c r="P9" i="2"/>
  <c r="F5" i="4" s="1"/>
  <c r="L6" i="5" s="1"/>
  <c r="P277" i="1"/>
  <c r="Q277" i="1" s="1"/>
  <c r="F52" i="3" s="1"/>
  <c r="G53" i="5" s="1"/>
  <c r="H277" i="1"/>
  <c r="I277" i="1" s="1"/>
  <c r="D52" i="3" s="1"/>
  <c r="E53" i="5" s="1"/>
  <c r="O53" i="5" s="1"/>
  <c r="P276" i="1"/>
  <c r="F51" i="3" s="1"/>
  <c r="G52" i="5" s="1"/>
  <c r="H276" i="1"/>
  <c r="D51" i="3" s="1"/>
  <c r="E52" i="5" s="1"/>
  <c r="O52" i="5" s="1"/>
  <c r="H274" i="1"/>
  <c r="H281" i="1" s="1"/>
  <c r="P273" i="1"/>
  <c r="P280" i="1" s="1"/>
  <c r="H273" i="1"/>
  <c r="H280" i="1" s="1"/>
  <c r="H272" i="1"/>
  <c r="P265" i="1"/>
  <c r="Q265" i="1" s="1"/>
  <c r="H265" i="1"/>
  <c r="I265" i="1" s="1"/>
  <c r="P264" i="1"/>
  <c r="Q264" i="1" s="1"/>
  <c r="I264" i="1"/>
  <c r="H263" i="1"/>
  <c r="D47" i="3" s="1"/>
  <c r="E48" i="5" s="1"/>
  <c r="O48" i="5" s="1"/>
  <c r="P263" i="1"/>
  <c r="F47" i="3" s="1"/>
  <c r="G48" i="5" s="1"/>
  <c r="P261" i="1"/>
  <c r="Q261" i="1" s="1"/>
  <c r="H261" i="1"/>
  <c r="I261" i="1" s="1"/>
  <c r="P260" i="1"/>
  <c r="Q260" i="1" s="1"/>
  <c r="F46" i="3" s="1"/>
  <c r="G47" i="5" s="1"/>
  <c r="H259" i="1"/>
  <c r="D45" i="3" s="1"/>
  <c r="E46" i="5" s="1"/>
  <c r="O46" i="5" s="1"/>
  <c r="H257" i="1"/>
  <c r="H268" i="1" s="1"/>
  <c r="H256" i="1"/>
  <c r="H255" i="1"/>
  <c r="P247" i="1"/>
  <c r="Q247" i="1" s="1"/>
  <c r="H247" i="1"/>
  <c r="I247" i="1" s="1"/>
  <c r="P246" i="1"/>
  <c r="Q246" i="1" s="1"/>
  <c r="H246" i="1"/>
  <c r="I246" i="1" s="1"/>
  <c r="D42" i="3" s="1"/>
  <c r="E43" i="5" s="1"/>
  <c r="O43" i="5" s="1"/>
  <c r="P245" i="1"/>
  <c r="F41" i="3" s="1"/>
  <c r="G42" i="5" s="1"/>
  <c r="H245" i="1"/>
  <c r="D41" i="3" s="1"/>
  <c r="E42" i="5" s="1"/>
  <c r="O42" i="5" s="1"/>
  <c r="P243" i="1"/>
  <c r="Q243" i="1" s="1"/>
  <c r="H243" i="1"/>
  <c r="I243" i="1" s="1"/>
  <c r="P242" i="1"/>
  <c r="Q242" i="1" s="1"/>
  <c r="F40" i="3" s="1"/>
  <c r="G41" i="5" s="1"/>
  <c r="H242" i="1"/>
  <c r="I242" i="1" s="1"/>
  <c r="D40" i="3" s="1"/>
  <c r="E41" i="5" s="1"/>
  <c r="O41" i="5" s="1"/>
  <c r="P241" i="1"/>
  <c r="F39" i="3" s="1"/>
  <c r="G40" i="5" s="1"/>
  <c r="H241" i="1"/>
  <c r="D39" i="3" s="1"/>
  <c r="E40" i="5" s="1"/>
  <c r="O40" i="5" s="1"/>
  <c r="P239" i="1"/>
  <c r="H239" i="1"/>
  <c r="I239" i="1" s="1"/>
  <c r="P238" i="1"/>
  <c r="H238" i="1"/>
  <c r="I238" i="1" s="1"/>
  <c r="D38" i="3" s="1"/>
  <c r="E39" i="5" s="1"/>
  <c r="O39" i="5" s="1"/>
  <c r="H237" i="1"/>
  <c r="D37" i="3" s="1"/>
  <c r="E38" i="5" s="1"/>
  <c r="O38" i="5" s="1"/>
  <c r="P229" i="1"/>
  <c r="Q229" i="1" s="1"/>
  <c r="H229" i="1"/>
  <c r="I229" i="1" s="1"/>
  <c r="P228" i="1"/>
  <c r="Q228" i="1" s="1"/>
  <c r="H228" i="1"/>
  <c r="I228" i="1" s="1"/>
  <c r="P227" i="1"/>
  <c r="H227" i="1"/>
  <c r="P225" i="1"/>
  <c r="Q225" i="1" s="1"/>
  <c r="H225" i="1"/>
  <c r="I225" i="1" s="1"/>
  <c r="P224" i="1"/>
  <c r="H224" i="1"/>
  <c r="P223" i="1"/>
  <c r="Q223" i="1" s="1"/>
  <c r="H223" i="1"/>
  <c r="I223" i="1" s="1"/>
  <c r="P222" i="1"/>
  <c r="Q222" i="1" s="1"/>
  <c r="H222" i="1"/>
  <c r="I222" i="1" s="1"/>
  <c r="P221" i="1"/>
  <c r="H221" i="1"/>
  <c r="P220" i="1"/>
  <c r="Q220" i="1" s="1"/>
  <c r="H220" i="1"/>
  <c r="I220" i="1" s="1"/>
  <c r="P219" i="1"/>
  <c r="Q219" i="1" s="1"/>
  <c r="H219" i="1"/>
  <c r="I219" i="1" s="1"/>
  <c r="P218" i="1"/>
  <c r="H218" i="1"/>
  <c r="P217" i="1"/>
  <c r="Q217" i="1" s="1"/>
  <c r="H217" i="1"/>
  <c r="I217" i="1" s="1"/>
  <c r="P215" i="1"/>
  <c r="H215" i="1"/>
  <c r="H213" i="1"/>
  <c r="I213" i="1" s="1"/>
  <c r="P212" i="1"/>
  <c r="Q212" i="1" s="1"/>
  <c r="H212" i="1"/>
  <c r="I212" i="1" s="1"/>
  <c r="D34" i="3" s="1"/>
  <c r="E35" i="5" s="1"/>
  <c r="O35" i="5" s="1"/>
  <c r="H211" i="1"/>
  <c r="D33" i="3" s="1"/>
  <c r="E34" i="5" s="1"/>
  <c r="O34" i="5" s="1"/>
  <c r="H209" i="1"/>
  <c r="I209" i="1" s="1"/>
  <c r="H208" i="1"/>
  <c r="I208" i="1" s="1"/>
  <c r="P187" i="1"/>
  <c r="Q187" i="1" s="1"/>
  <c r="I187" i="1"/>
  <c r="J186" i="1" s="1"/>
  <c r="P186" i="1"/>
  <c r="P197" i="1"/>
  <c r="Q197" i="1" s="1"/>
  <c r="I197" i="1"/>
  <c r="P196" i="1"/>
  <c r="Q196" i="1" s="1"/>
  <c r="I196" i="1"/>
  <c r="P195" i="1"/>
  <c r="Q195" i="1" s="1"/>
  <c r="I195" i="1"/>
  <c r="P194" i="1"/>
  <c r="P193" i="1"/>
  <c r="Q193" i="1" s="1"/>
  <c r="I193" i="1"/>
  <c r="P192" i="1"/>
  <c r="Q192" i="1" s="1"/>
  <c r="I192" i="1"/>
  <c r="P191" i="1"/>
  <c r="Q191" i="1" s="1"/>
  <c r="I191" i="1"/>
  <c r="P205" i="1"/>
  <c r="Q205" i="1" s="1"/>
  <c r="I205" i="1"/>
  <c r="P204" i="1"/>
  <c r="Q204" i="1" s="1"/>
  <c r="I204" i="1"/>
  <c r="P203" i="1"/>
  <c r="Q203" i="1" s="1"/>
  <c r="I203" i="1"/>
  <c r="P185" i="1"/>
  <c r="Q185" i="1" s="1"/>
  <c r="I185" i="1"/>
  <c r="P184" i="1"/>
  <c r="Q184" i="1" s="1"/>
  <c r="I184" i="1"/>
  <c r="P183" i="1"/>
  <c r="Q183" i="1" s="1"/>
  <c r="I183" i="1"/>
  <c r="P175" i="1"/>
  <c r="Q175" i="1" s="1"/>
  <c r="F30" i="3" s="1"/>
  <c r="G31" i="5" s="1"/>
  <c r="H175" i="1"/>
  <c r="I175" i="1" s="1"/>
  <c r="D30" i="3" s="1"/>
  <c r="E31" i="5" s="1"/>
  <c r="O31" i="5" s="1"/>
  <c r="P174" i="1"/>
  <c r="F29" i="3" s="1"/>
  <c r="G30" i="5" s="1"/>
  <c r="H174" i="1"/>
  <c r="D29" i="3" s="1"/>
  <c r="E30" i="5" s="1"/>
  <c r="O30" i="5" s="1"/>
  <c r="H172" i="1"/>
  <c r="I172" i="1" s="1"/>
  <c r="P172" i="1"/>
  <c r="Q172" i="1" s="1"/>
  <c r="H171" i="1"/>
  <c r="I171" i="1" s="1"/>
  <c r="H170" i="1"/>
  <c r="D27" i="3" s="1"/>
  <c r="E28" i="5" s="1"/>
  <c r="O28" i="5" s="1"/>
  <c r="P169" i="1"/>
  <c r="Q169" i="1" s="1"/>
  <c r="H169" i="1"/>
  <c r="I169" i="1" s="1"/>
  <c r="P168" i="1"/>
  <c r="Q168" i="1" s="1"/>
  <c r="I168" i="1"/>
  <c r="P167" i="1"/>
  <c r="P165" i="1"/>
  <c r="Q165" i="1" s="1"/>
  <c r="I165" i="1"/>
  <c r="J164" i="1" s="1"/>
  <c r="P164" i="1"/>
  <c r="P163" i="1"/>
  <c r="Q163" i="1" s="1"/>
  <c r="H163" i="1"/>
  <c r="I163" i="1" s="1"/>
  <c r="P162" i="1"/>
  <c r="Q162" i="1" s="1"/>
  <c r="H162" i="1"/>
  <c r="I162" i="1" s="1"/>
  <c r="P161" i="1"/>
  <c r="P160" i="1"/>
  <c r="Q160" i="1" s="1"/>
  <c r="I160" i="1"/>
  <c r="P159" i="1"/>
  <c r="Q159" i="1" s="1"/>
  <c r="H159" i="1"/>
  <c r="I159" i="1" s="1"/>
  <c r="P158" i="1"/>
  <c r="H158" i="1"/>
  <c r="P157" i="1"/>
  <c r="Q157" i="1" s="1"/>
  <c r="H157" i="1"/>
  <c r="I157" i="1" s="1"/>
  <c r="P155" i="1"/>
  <c r="H155" i="1"/>
  <c r="P154" i="1"/>
  <c r="Q154" i="1" s="1"/>
  <c r="H154" i="1"/>
  <c r="I154" i="1" s="1"/>
  <c r="P153" i="1"/>
  <c r="Q153" i="1" s="1"/>
  <c r="H153" i="1"/>
  <c r="I153" i="1" s="1"/>
  <c r="H152" i="1"/>
  <c r="P150" i="1"/>
  <c r="Q150" i="1" s="1"/>
  <c r="H150" i="1"/>
  <c r="I150" i="1" s="1"/>
  <c r="P149" i="1"/>
  <c r="Q149" i="1" s="1"/>
  <c r="F26" i="3" s="1"/>
  <c r="G27" i="5" s="1"/>
  <c r="H149" i="1"/>
  <c r="I149" i="1" s="1"/>
  <c r="D26" i="3" s="1"/>
  <c r="E27" i="5" s="1"/>
  <c r="O27" i="5" s="1"/>
  <c r="P148" i="1"/>
  <c r="F25" i="3" s="1"/>
  <c r="G26" i="5" s="1"/>
  <c r="H148" i="1"/>
  <c r="D25" i="3" s="1"/>
  <c r="E26" i="5" s="1"/>
  <c r="O26" i="5" s="1"/>
  <c r="H145" i="1"/>
  <c r="I145" i="1" s="1"/>
  <c r="D24" i="3" s="1"/>
  <c r="E25" i="5" s="1"/>
  <c r="O25" i="5" s="1"/>
  <c r="H144" i="1"/>
  <c r="D23" i="3" s="1"/>
  <c r="E24" i="5" s="1"/>
  <c r="O24" i="5" s="1"/>
  <c r="P143" i="1"/>
  <c r="Q143" i="1" s="1"/>
  <c r="H143" i="1"/>
  <c r="I143" i="1" s="1"/>
  <c r="P142" i="1"/>
  <c r="Q142" i="1" s="1"/>
  <c r="H142" i="1"/>
  <c r="I142" i="1" s="1"/>
  <c r="P141" i="1"/>
  <c r="H141" i="1"/>
  <c r="P140" i="1"/>
  <c r="Q140" i="1" s="1"/>
  <c r="H140" i="1"/>
  <c r="I140" i="1" s="1"/>
  <c r="P139" i="1"/>
  <c r="Q139" i="1" s="1"/>
  <c r="H139" i="1"/>
  <c r="I139" i="1" s="1"/>
  <c r="P138" i="1"/>
  <c r="H138" i="1"/>
  <c r="P137" i="1"/>
  <c r="Q137" i="1" s="1"/>
  <c r="H137" i="1"/>
  <c r="I137" i="1" s="1"/>
  <c r="P135" i="1"/>
  <c r="H135" i="1"/>
  <c r="P134" i="1"/>
  <c r="Q134" i="1" s="1"/>
  <c r="H134" i="1"/>
  <c r="I134" i="1" s="1"/>
  <c r="P133" i="1"/>
  <c r="Q133" i="1" s="1"/>
  <c r="H133" i="1"/>
  <c r="I133" i="1" s="1"/>
  <c r="P132" i="1"/>
  <c r="H132" i="1"/>
  <c r="P131" i="1"/>
  <c r="Q131" i="1" s="1"/>
  <c r="H131" i="1"/>
  <c r="I131" i="1" s="1"/>
  <c r="P130" i="1"/>
  <c r="Q130" i="1" s="1"/>
  <c r="H130" i="1"/>
  <c r="I130" i="1" s="1"/>
  <c r="P129" i="1"/>
  <c r="H129" i="1"/>
  <c r="P128" i="1"/>
  <c r="Q128" i="1" s="1"/>
  <c r="H128" i="1"/>
  <c r="I128" i="1" s="1"/>
  <c r="P127" i="1"/>
  <c r="Q127" i="1" s="1"/>
  <c r="H127" i="1"/>
  <c r="I127" i="1" s="1"/>
  <c r="P125" i="1"/>
  <c r="Q125" i="1" s="1"/>
  <c r="H125" i="1"/>
  <c r="I125" i="1" s="1"/>
  <c r="P124" i="1"/>
  <c r="Q124" i="1" s="1"/>
  <c r="H124" i="1"/>
  <c r="I124" i="1" s="1"/>
  <c r="P123" i="1"/>
  <c r="H123" i="1"/>
  <c r="P122" i="1"/>
  <c r="Q122" i="1" s="1"/>
  <c r="H122" i="1"/>
  <c r="I122" i="1" s="1"/>
  <c r="P121" i="1"/>
  <c r="Q121" i="1" s="1"/>
  <c r="H121" i="1"/>
  <c r="I121" i="1" s="1"/>
  <c r="P120" i="1"/>
  <c r="H120" i="1"/>
  <c r="P119" i="1"/>
  <c r="Q119" i="1" s="1"/>
  <c r="H119" i="1"/>
  <c r="I119" i="1" s="1"/>
  <c r="P118" i="1"/>
  <c r="Q118" i="1" s="1"/>
  <c r="H118" i="1"/>
  <c r="I118" i="1" s="1"/>
  <c r="P117" i="1"/>
  <c r="H117" i="1"/>
  <c r="P115" i="1"/>
  <c r="Q115" i="1" s="1"/>
  <c r="H115" i="1"/>
  <c r="I115" i="1" s="1"/>
  <c r="P114" i="1"/>
  <c r="H114" i="1"/>
  <c r="H112" i="1"/>
  <c r="I112" i="1" s="1"/>
  <c r="P112" i="1"/>
  <c r="Q112" i="1" s="1"/>
  <c r="P111" i="1"/>
  <c r="Q111" i="1" s="1"/>
  <c r="F22" i="3" s="1"/>
  <c r="G23" i="5" s="1"/>
  <c r="H111" i="1"/>
  <c r="I111" i="1" s="1"/>
  <c r="H110" i="1"/>
  <c r="D21" i="3" s="1"/>
  <c r="E22" i="5" s="1"/>
  <c r="O22" i="5" s="1"/>
  <c r="P108" i="1"/>
  <c r="Q108" i="1" s="1"/>
  <c r="H108" i="1"/>
  <c r="I108" i="1" s="1"/>
  <c r="P107" i="1"/>
  <c r="Q107" i="1" s="1"/>
  <c r="H107" i="1"/>
  <c r="I107" i="1" s="1"/>
  <c r="D20" i="3" s="1"/>
  <c r="E21" i="5" s="1"/>
  <c r="O21" i="5" s="1"/>
  <c r="P95" i="1"/>
  <c r="Q95" i="1" s="1"/>
  <c r="H95" i="1"/>
  <c r="I95" i="1" s="1"/>
  <c r="P94" i="1"/>
  <c r="Q94" i="1" s="1"/>
  <c r="H94" i="1"/>
  <c r="I94" i="1" s="1"/>
  <c r="P93" i="1"/>
  <c r="H93" i="1"/>
  <c r="H91" i="1"/>
  <c r="H90" i="1"/>
  <c r="H89" i="1"/>
  <c r="D15" i="3" s="1"/>
  <c r="E16" i="5" s="1"/>
  <c r="O16" i="5" s="1"/>
  <c r="P88" i="1"/>
  <c r="Q88" i="1" s="1"/>
  <c r="H88" i="1"/>
  <c r="I88" i="1" s="1"/>
  <c r="P87" i="1"/>
  <c r="Q87" i="1" s="1"/>
  <c r="H87" i="1"/>
  <c r="I87" i="1" s="1"/>
  <c r="P85" i="1"/>
  <c r="Q85" i="1" s="1"/>
  <c r="H85" i="1"/>
  <c r="I85" i="1" s="1"/>
  <c r="P84" i="1"/>
  <c r="Q84" i="1" s="1"/>
  <c r="H84" i="1"/>
  <c r="I84" i="1" s="1"/>
  <c r="P83" i="1"/>
  <c r="P82" i="1"/>
  <c r="Q82" i="1" s="1"/>
  <c r="P81" i="1"/>
  <c r="Q81" i="1" s="1"/>
  <c r="P80" i="1"/>
  <c r="P79" i="1"/>
  <c r="Q79" i="1" s="1"/>
  <c r="P78" i="1"/>
  <c r="Q78" i="1" s="1"/>
  <c r="P77" i="1"/>
  <c r="P75" i="1"/>
  <c r="Q75" i="1" s="1"/>
  <c r="H75" i="1"/>
  <c r="I75" i="1" s="1"/>
  <c r="P74" i="1"/>
  <c r="H74" i="1"/>
  <c r="P73" i="1"/>
  <c r="Q73" i="1" s="1"/>
  <c r="H73" i="1"/>
  <c r="I73" i="1" s="1"/>
  <c r="P72" i="1"/>
  <c r="Q72" i="1" s="1"/>
  <c r="H72" i="1"/>
  <c r="I72" i="1" s="1"/>
  <c r="P71" i="1"/>
  <c r="H71" i="1"/>
  <c r="P70" i="1"/>
  <c r="Q70" i="1" s="1"/>
  <c r="H70" i="1"/>
  <c r="I70" i="1" s="1"/>
  <c r="P69" i="1"/>
  <c r="Q69" i="1" s="1"/>
  <c r="H69" i="1"/>
  <c r="I69" i="1" s="1"/>
  <c r="P68" i="1"/>
  <c r="H68" i="1"/>
  <c r="P67" i="1"/>
  <c r="Q67" i="1" s="1"/>
  <c r="H67" i="1"/>
  <c r="I67" i="1" s="1"/>
  <c r="P65" i="1"/>
  <c r="H65" i="1"/>
  <c r="P64" i="1"/>
  <c r="Q64" i="1" s="1"/>
  <c r="H64" i="1"/>
  <c r="I64" i="1" s="1"/>
  <c r="P63" i="1"/>
  <c r="Q63" i="1" s="1"/>
  <c r="H63" i="1"/>
  <c r="I63" i="1" s="1"/>
  <c r="P62" i="1"/>
  <c r="H62" i="1"/>
  <c r="P61" i="1"/>
  <c r="Q61" i="1" s="1"/>
  <c r="H61" i="1"/>
  <c r="I61" i="1" s="1"/>
  <c r="P60" i="1"/>
  <c r="Q60" i="1" s="1"/>
  <c r="H60" i="1"/>
  <c r="I60" i="1" s="1"/>
  <c r="P59" i="1"/>
  <c r="H59" i="1"/>
  <c r="P58" i="1"/>
  <c r="Q58" i="1" s="1"/>
  <c r="H58" i="1"/>
  <c r="I58" i="1" s="1"/>
  <c r="P57" i="1"/>
  <c r="Q57" i="1" s="1"/>
  <c r="H57" i="1"/>
  <c r="I57" i="1" s="1"/>
  <c r="P54" i="1"/>
  <c r="Q54" i="1" s="1"/>
  <c r="H54" i="1"/>
  <c r="I54" i="1" s="1"/>
  <c r="H53" i="1"/>
  <c r="I53" i="1" s="1"/>
  <c r="H52" i="1"/>
  <c r="D13" i="3" s="1"/>
  <c r="E14" i="5" s="1"/>
  <c r="O14" i="5" s="1"/>
  <c r="P52" i="1"/>
  <c r="F13" i="3" s="1"/>
  <c r="G14" i="5" s="1"/>
  <c r="P50" i="1"/>
  <c r="Q50" i="1" s="1"/>
  <c r="H50" i="1"/>
  <c r="I50" i="1" s="1"/>
  <c r="P49" i="1"/>
  <c r="Q49" i="1" s="1"/>
  <c r="H49" i="1"/>
  <c r="I49" i="1" s="1"/>
  <c r="P48" i="1"/>
  <c r="F11" i="3" s="1"/>
  <c r="G12" i="5" s="1"/>
  <c r="H48" i="1"/>
  <c r="D11" i="3" s="1"/>
  <c r="E12" i="5" s="1"/>
  <c r="O12" i="5" s="1"/>
  <c r="P43" i="1"/>
  <c r="Q43" i="1" s="1"/>
  <c r="H43" i="1"/>
  <c r="I43" i="1" s="1"/>
  <c r="P42" i="1"/>
  <c r="Q42" i="1" s="1"/>
  <c r="H42" i="1"/>
  <c r="I42" i="1" s="1"/>
  <c r="P41" i="1"/>
  <c r="H41" i="1"/>
  <c r="P40" i="1"/>
  <c r="Q40" i="1" s="1"/>
  <c r="H40" i="1"/>
  <c r="I40" i="1" s="1"/>
  <c r="P39" i="1"/>
  <c r="Q39" i="1" s="1"/>
  <c r="H39" i="1"/>
  <c r="I39" i="1" s="1"/>
  <c r="P38" i="1"/>
  <c r="H38" i="1"/>
  <c r="P37" i="1"/>
  <c r="Q37" i="1" s="1"/>
  <c r="H37" i="1"/>
  <c r="I37" i="1" s="1"/>
  <c r="P35" i="1"/>
  <c r="H35" i="1"/>
  <c r="P34" i="1"/>
  <c r="Q34" i="1" s="1"/>
  <c r="H34" i="1"/>
  <c r="I34" i="1" s="1"/>
  <c r="P33" i="1"/>
  <c r="Q33" i="1" s="1"/>
  <c r="H33" i="1"/>
  <c r="I33" i="1" s="1"/>
  <c r="P32" i="1"/>
  <c r="H32" i="1"/>
  <c r="P31" i="1"/>
  <c r="Q31" i="1" s="1"/>
  <c r="H31" i="1"/>
  <c r="I31" i="1" s="1"/>
  <c r="P30" i="1"/>
  <c r="Q30" i="1" s="1"/>
  <c r="H30" i="1"/>
  <c r="I30" i="1" s="1"/>
  <c r="P29" i="1"/>
  <c r="H29" i="1"/>
  <c r="P28" i="1"/>
  <c r="Q28" i="1" s="1"/>
  <c r="H28" i="1"/>
  <c r="I28" i="1" s="1"/>
  <c r="P27" i="1"/>
  <c r="Q27" i="1" s="1"/>
  <c r="H27" i="1"/>
  <c r="I27" i="1" s="1"/>
  <c r="H25" i="1"/>
  <c r="H24" i="1"/>
  <c r="H23" i="1"/>
  <c r="H22" i="1"/>
  <c r="H21" i="1"/>
  <c r="H20" i="1"/>
  <c r="H19" i="1"/>
  <c r="H18" i="1"/>
  <c r="H17" i="1"/>
  <c r="H248" i="1" s="1"/>
  <c r="J13" i="1"/>
  <c r="H7" i="1"/>
  <c r="I7" i="1" s="1"/>
  <c r="H6" i="1"/>
  <c r="H11" i="1"/>
  <c r="H10" i="1"/>
  <c r="D14" i="3" l="1"/>
  <c r="E15" i="5" s="1"/>
  <c r="O15" i="5" s="1"/>
  <c r="F20" i="3"/>
  <c r="G21" i="5" s="1"/>
  <c r="F42" i="3"/>
  <c r="G43" i="5" s="1"/>
  <c r="D48" i="3"/>
  <c r="E49" i="5" s="1"/>
  <c r="O49" i="5" s="1"/>
  <c r="F48" i="3"/>
  <c r="G49" i="5" s="1"/>
  <c r="F30" i="4"/>
  <c r="L31" i="5" s="1"/>
  <c r="F22" i="4"/>
  <c r="L23" i="5" s="1"/>
  <c r="F12" i="4"/>
  <c r="L13" i="5" s="1"/>
  <c r="F14" i="4"/>
  <c r="L15" i="5" s="1"/>
  <c r="F8" i="4"/>
  <c r="L9" i="5" s="1"/>
  <c r="D12" i="3"/>
  <c r="E13" i="5" s="1"/>
  <c r="O13" i="5" s="1"/>
  <c r="F12" i="3"/>
  <c r="G13" i="5" s="1"/>
  <c r="D28" i="3"/>
  <c r="E29" i="5" s="1"/>
  <c r="O29" i="5" s="1"/>
  <c r="D43" i="3"/>
  <c r="E44" i="5" s="1"/>
  <c r="O44" i="5" s="1"/>
  <c r="H266" i="1"/>
  <c r="D22" i="3"/>
  <c r="E23" i="5" s="1"/>
  <c r="O23" i="5" s="1"/>
  <c r="I256" i="1"/>
  <c r="H267" i="1"/>
  <c r="D49" i="3"/>
  <c r="E50" i="5" s="1"/>
  <c r="O50" i="5" s="1"/>
  <c r="H279" i="1"/>
  <c r="P266" i="2"/>
  <c r="Q260" i="2"/>
  <c r="I90" i="1"/>
  <c r="H250" i="1"/>
  <c r="H284" i="1" s="1"/>
  <c r="I91" i="1"/>
  <c r="H251" i="1"/>
  <c r="H285" i="1" s="1"/>
  <c r="Q203" i="2"/>
  <c r="Q249" i="2" s="1"/>
  <c r="Q283" i="2" s="1"/>
  <c r="P249" i="2"/>
  <c r="P283" i="2" s="1"/>
  <c r="P6" i="2"/>
  <c r="O250" i="2"/>
  <c r="O284" i="2" s="1"/>
  <c r="P7" i="2"/>
  <c r="O251" i="2"/>
  <c r="O285" i="2" s="1"/>
  <c r="O248" i="2"/>
  <c r="O282" i="2" s="1"/>
  <c r="Q265" i="2"/>
  <c r="R263" i="2" s="1"/>
  <c r="I273" i="1"/>
  <c r="R126" i="1"/>
  <c r="J35" i="1"/>
  <c r="R276" i="1"/>
  <c r="J276" i="1"/>
  <c r="R26" i="1"/>
  <c r="R35" i="1"/>
  <c r="P5" i="2"/>
  <c r="F3" i="4" s="1"/>
  <c r="L4" i="5" s="1"/>
  <c r="P11" i="2"/>
  <c r="Q11" i="2" s="1"/>
  <c r="J126" i="1"/>
  <c r="R164" i="1"/>
  <c r="J174" i="1"/>
  <c r="J106" i="1"/>
  <c r="R135" i="1"/>
  <c r="R186" i="1"/>
  <c r="R215" i="1"/>
  <c r="J26" i="1"/>
  <c r="R65" i="1"/>
  <c r="J224" i="1"/>
  <c r="J155" i="1"/>
  <c r="R190" i="1"/>
  <c r="Q238" i="1"/>
  <c r="F38" i="3" s="1"/>
  <c r="G39" i="5" s="1"/>
  <c r="Q239" i="1"/>
  <c r="R56" i="1"/>
  <c r="J135" i="1"/>
  <c r="J190" i="1"/>
  <c r="J215" i="1"/>
  <c r="R106" i="1"/>
  <c r="J65" i="1"/>
  <c r="J74" i="1"/>
  <c r="J144" i="1"/>
  <c r="R224" i="1"/>
  <c r="R155" i="1"/>
  <c r="R74" i="1"/>
  <c r="R174" i="1"/>
  <c r="J86" i="1"/>
  <c r="J114" i="1"/>
  <c r="J56" i="1"/>
  <c r="R86" i="1"/>
  <c r="R114" i="1"/>
  <c r="I18" i="1"/>
  <c r="I24" i="1"/>
  <c r="I6" i="1"/>
  <c r="D4" i="3" s="1"/>
  <c r="E5" i="5" s="1"/>
  <c r="O5" i="5" s="1"/>
  <c r="I19" i="1"/>
  <c r="I25" i="1"/>
  <c r="P7" i="1"/>
  <c r="P13" i="1"/>
  <c r="F7" i="3" s="1"/>
  <c r="G8" i="5" s="1"/>
  <c r="I21" i="1"/>
  <c r="P25" i="1"/>
  <c r="P10" i="1"/>
  <c r="P6" i="1"/>
  <c r="I22" i="1"/>
  <c r="P5" i="1"/>
  <c r="F3" i="3" s="1"/>
  <c r="G4" i="5" s="1"/>
  <c r="P24" i="1"/>
  <c r="P20" i="1"/>
  <c r="P14" i="1"/>
  <c r="P11" i="1"/>
  <c r="P22" i="1"/>
  <c r="P21" i="1"/>
  <c r="P18" i="1"/>
  <c r="P19" i="1"/>
  <c r="P9" i="1"/>
  <c r="F5" i="3" s="1"/>
  <c r="G6" i="5" s="1"/>
  <c r="P15" i="1"/>
  <c r="P17" i="1"/>
  <c r="P23" i="1"/>
  <c r="I11" i="1"/>
  <c r="I10" i="1"/>
  <c r="J32" i="1"/>
  <c r="R41" i="1"/>
  <c r="P172" i="2"/>
  <c r="Q172" i="2" s="1"/>
  <c r="J38" i="1"/>
  <c r="R35" i="2"/>
  <c r="J161" i="1"/>
  <c r="J29" i="1"/>
  <c r="J71" i="1"/>
  <c r="J41" i="1"/>
  <c r="J68" i="1"/>
  <c r="J138" i="1"/>
  <c r="P235" i="2"/>
  <c r="Q235" i="2" s="1"/>
  <c r="F38" i="4" s="1"/>
  <c r="L39" i="5" s="1"/>
  <c r="R41" i="2"/>
  <c r="R86" i="2"/>
  <c r="J83" i="1"/>
  <c r="J129" i="1"/>
  <c r="R38" i="2"/>
  <c r="R93" i="2"/>
  <c r="R141" i="2"/>
  <c r="R158" i="2"/>
  <c r="J120" i="1"/>
  <c r="R224" i="2"/>
  <c r="P171" i="2"/>
  <c r="Q171" i="2" s="1"/>
  <c r="P234" i="2"/>
  <c r="F37" i="4" s="1"/>
  <c r="L38" i="5" s="1"/>
  <c r="P170" i="2"/>
  <c r="F27" i="4" s="1"/>
  <c r="L28" i="5" s="1"/>
  <c r="J227" i="1"/>
  <c r="P234" i="1"/>
  <c r="Q234" i="1" s="1"/>
  <c r="J221" i="1"/>
  <c r="P233" i="1"/>
  <c r="F35" i="3" s="1"/>
  <c r="G36" i="5" s="1"/>
  <c r="P171" i="1"/>
  <c r="Q171" i="1" s="1"/>
  <c r="F28" i="3" s="1"/>
  <c r="G29" i="5" s="1"/>
  <c r="R132" i="1"/>
  <c r="J93" i="1"/>
  <c r="R62" i="1"/>
  <c r="J59" i="1"/>
  <c r="J152" i="1"/>
  <c r="J158" i="1"/>
  <c r="J148" i="1"/>
  <c r="J132" i="1"/>
  <c r="R117" i="1"/>
  <c r="P144" i="1"/>
  <c r="F23" i="3" s="1"/>
  <c r="G24" i="5" s="1"/>
  <c r="J62" i="1"/>
  <c r="J48" i="1"/>
  <c r="P91" i="1"/>
  <c r="P89" i="1"/>
  <c r="F15" i="3" s="1"/>
  <c r="G16" i="5" s="1"/>
  <c r="P90" i="1"/>
  <c r="R80" i="1"/>
  <c r="R218" i="2"/>
  <c r="R32" i="2"/>
  <c r="R123" i="2"/>
  <c r="R114" i="2"/>
  <c r="P272" i="2"/>
  <c r="R80" i="2"/>
  <c r="R221" i="2"/>
  <c r="R135" i="2"/>
  <c r="R152" i="2"/>
  <c r="R167" i="2"/>
  <c r="R99" i="2"/>
  <c r="R26" i="2"/>
  <c r="R215" i="2"/>
  <c r="R68" i="2"/>
  <c r="P256" i="2"/>
  <c r="F45" i="4" s="1"/>
  <c r="L46" i="5" s="1"/>
  <c r="R59" i="1"/>
  <c r="R77" i="1"/>
  <c r="R167" i="1"/>
  <c r="R129" i="1"/>
  <c r="R123" i="1"/>
  <c r="R190" i="2"/>
  <c r="J194" i="1"/>
  <c r="J202" i="1"/>
  <c r="J182" i="1"/>
  <c r="H207" i="1"/>
  <c r="H249" i="1" s="1"/>
  <c r="H283" i="1" s="1"/>
  <c r="R194" i="1"/>
  <c r="P209" i="1"/>
  <c r="Q209" i="1" s="1"/>
  <c r="R83" i="1"/>
  <c r="R68" i="1"/>
  <c r="R29" i="1"/>
  <c r="R38" i="1"/>
  <c r="R93" i="1"/>
  <c r="P53" i="1"/>
  <c r="Q53" i="1" s="1"/>
  <c r="F14" i="3" s="1"/>
  <c r="G15" i="5" s="1"/>
  <c r="R71" i="1"/>
  <c r="R32" i="1"/>
  <c r="J52" i="1"/>
  <c r="R263" i="1"/>
  <c r="J167" i="1"/>
  <c r="P145" i="1"/>
  <c r="Q145" i="1" s="1"/>
  <c r="F24" i="3" s="1"/>
  <c r="G25" i="5" s="1"/>
  <c r="R161" i="1"/>
  <c r="P237" i="1"/>
  <c r="F37" i="3" s="1"/>
  <c r="G38" i="5" s="1"/>
  <c r="R48" i="1"/>
  <c r="J110" i="1"/>
  <c r="R148" i="1"/>
  <c r="R218" i="1"/>
  <c r="P110" i="1"/>
  <c r="F21" i="3" s="1"/>
  <c r="G22" i="5" s="1"/>
  <c r="P208" i="1"/>
  <c r="Q208" i="1" s="1"/>
  <c r="R241" i="1"/>
  <c r="P152" i="1"/>
  <c r="R152" i="1" s="1"/>
  <c r="P202" i="1"/>
  <c r="R202" i="1" s="1"/>
  <c r="P211" i="1"/>
  <c r="F33" i="3" s="1"/>
  <c r="G34" i="5" s="1"/>
  <c r="R120" i="1"/>
  <c r="R141" i="1"/>
  <c r="J237" i="1"/>
  <c r="R245" i="1"/>
  <c r="J170" i="1"/>
  <c r="P182" i="1"/>
  <c r="R182" i="1" s="1"/>
  <c r="J117" i="1"/>
  <c r="J211" i="1"/>
  <c r="J218" i="1"/>
  <c r="R221" i="1"/>
  <c r="R227" i="1"/>
  <c r="Q273" i="1"/>
  <c r="R138" i="1"/>
  <c r="P213" i="1"/>
  <c r="Q213" i="1" s="1"/>
  <c r="F34" i="3" s="1"/>
  <c r="G35" i="5" s="1"/>
  <c r="J141" i="1"/>
  <c r="R158" i="1"/>
  <c r="J123" i="1"/>
  <c r="P235" i="1"/>
  <c r="Q235" i="1" s="1"/>
  <c r="J245" i="1"/>
  <c r="P259" i="1"/>
  <c r="F45" i="3" s="1"/>
  <c r="G46" i="5" s="1"/>
  <c r="R59" i="2"/>
  <c r="R20" i="2"/>
  <c r="P209" i="2"/>
  <c r="Q209" i="2" s="1"/>
  <c r="I274" i="1"/>
  <c r="I281" i="1" s="1"/>
  <c r="P10" i="2"/>
  <c r="R13" i="2"/>
  <c r="R71" i="2"/>
  <c r="P272" i="1"/>
  <c r="P274" i="1"/>
  <c r="P281" i="1" s="1"/>
  <c r="R62" i="2"/>
  <c r="R83" i="2"/>
  <c r="R74" i="2"/>
  <c r="I257" i="1"/>
  <c r="I268" i="1" s="1"/>
  <c r="R29" i="2"/>
  <c r="P257" i="1"/>
  <c r="P268" i="1" s="1"/>
  <c r="R23" i="2"/>
  <c r="R65" i="2"/>
  <c r="P102" i="2"/>
  <c r="F17" i="4" s="1"/>
  <c r="L18" i="5" s="1"/>
  <c r="I260" i="1"/>
  <c r="D46" i="3" s="1"/>
  <c r="E47" i="5" s="1"/>
  <c r="O47" i="5" s="1"/>
  <c r="R17" i="2"/>
  <c r="R56" i="2"/>
  <c r="R77" i="2"/>
  <c r="J241" i="1"/>
  <c r="J263" i="1"/>
  <c r="Q274" i="2"/>
  <c r="F52" i="4" s="1"/>
  <c r="L53" i="5" s="1"/>
  <c r="R106" i="2"/>
  <c r="P145" i="2"/>
  <c r="Q145" i="2" s="1"/>
  <c r="R211" i="2"/>
  <c r="R155" i="2"/>
  <c r="R96" i="2"/>
  <c r="R117" i="2"/>
  <c r="R178" i="2"/>
  <c r="P103" i="2"/>
  <c r="Q103" i="2" s="1"/>
  <c r="F18" i="4" s="1"/>
  <c r="L19" i="5" s="1"/>
  <c r="R126" i="2"/>
  <c r="P146" i="2"/>
  <c r="Q146" i="2" s="1"/>
  <c r="R174" i="2"/>
  <c r="R202" i="2"/>
  <c r="R198" i="2"/>
  <c r="P48" i="2"/>
  <c r="F11" i="4" s="1"/>
  <c r="L12" i="5" s="1"/>
  <c r="P44" i="2"/>
  <c r="F9" i="4" s="1"/>
  <c r="L10" i="5" s="1"/>
  <c r="P45" i="2"/>
  <c r="Q45" i="2" s="1"/>
  <c r="P46" i="2"/>
  <c r="Q46" i="2" s="1"/>
  <c r="R110" i="2"/>
  <c r="R138" i="2"/>
  <c r="P208" i="2"/>
  <c r="Q208" i="2" s="1"/>
  <c r="R120" i="2"/>
  <c r="R129" i="2"/>
  <c r="R161" i="2"/>
  <c r="R182" i="2"/>
  <c r="R186" i="2"/>
  <c r="P104" i="2"/>
  <c r="Q104" i="2" s="1"/>
  <c r="R148" i="2"/>
  <c r="P206" i="2"/>
  <c r="F31" i="4" s="1"/>
  <c r="L32" i="5" s="1"/>
  <c r="R227" i="2"/>
  <c r="R52" i="2"/>
  <c r="P89" i="2"/>
  <c r="F15" i="4" s="1"/>
  <c r="L16" i="5" s="1"/>
  <c r="R132" i="2"/>
  <c r="R164" i="2"/>
  <c r="R194" i="2"/>
  <c r="P144" i="2"/>
  <c r="F23" i="4" s="1"/>
  <c r="L24" i="5" s="1"/>
  <c r="R259" i="2"/>
  <c r="R276" i="2"/>
  <c r="I54" i="5"/>
  <c r="J54" i="5"/>
  <c r="P257" i="2"/>
  <c r="P268" i="2" s="1"/>
  <c r="P273" i="2"/>
  <c r="F51" i="4" s="1"/>
  <c r="L52" i="5" s="1"/>
  <c r="R245" i="2"/>
  <c r="F36" i="3" l="1"/>
  <c r="G37" i="5" s="1"/>
  <c r="D6" i="3"/>
  <c r="E7" i="5" s="1"/>
  <c r="O7" i="5" s="1"/>
  <c r="F24" i="4"/>
  <c r="L25" i="5" s="1"/>
  <c r="F28" i="4"/>
  <c r="L29" i="5" s="1"/>
  <c r="F10" i="4"/>
  <c r="L11" i="5" s="1"/>
  <c r="H282" i="1"/>
  <c r="Q280" i="1"/>
  <c r="D44" i="3"/>
  <c r="E45" i="5" s="1"/>
  <c r="O45" i="5" s="1"/>
  <c r="I267" i="1"/>
  <c r="J266" i="1" s="1"/>
  <c r="P279" i="1"/>
  <c r="F49" i="3"/>
  <c r="G50" i="5" s="1"/>
  <c r="I251" i="1"/>
  <c r="I285" i="1" s="1"/>
  <c r="D50" i="3"/>
  <c r="E51" i="5" s="1"/>
  <c r="O51" i="5" s="1"/>
  <c r="I280" i="1"/>
  <c r="J279" i="1" s="1"/>
  <c r="I250" i="1"/>
  <c r="I284" i="1" s="1"/>
  <c r="D16" i="3"/>
  <c r="E17" i="5" s="1"/>
  <c r="O17" i="5" s="1"/>
  <c r="Q39" i="5"/>
  <c r="P267" i="2"/>
  <c r="Q281" i="2"/>
  <c r="Q53" i="5"/>
  <c r="P280" i="2"/>
  <c r="P284" i="2" s="1"/>
  <c r="Q52" i="5"/>
  <c r="Q29" i="5"/>
  <c r="P248" i="1"/>
  <c r="Q91" i="1"/>
  <c r="P251" i="1"/>
  <c r="P285" i="1" s="1"/>
  <c r="J89" i="1"/>
  <c r="Q90" i="1"/>
  <c r="P250" i="1"/>
  <c r="P284" i="1" s="1"/>
  <c r="P279" i="2"/>
  <c r="Q7" i="2"/>
  <c r="Q251" i="2" s="1"/>
  <c r="P251" i="2"/>
  <c r="P285" i="2" s="1"/>
  <c r="P248" i="2"/>
  <c r="Q6" i="2"/>
  <c r="P250" i="2"/>
  <c r="P90" i="2"/>
  <c r="Q234" i="2"/>
  <c r="R233" i="2" s="1"/>
  <c r="J23" i="1"/>
  <c r="J17" i="1"/>
  <c r="J5" i="1"/>
  <c r="Q10" i="1"/>
  <c r="R144" i="1"/>
  <c r="J9" i="1"/>
  <c r="Q14" i="1"/>
  <c r="Q31" i="5"/>
  <c r="Q7" i="1"/>
  <c r="Q21" i="1"/>
  <c r="Q25" i="1"/>
  <c r="Q19" i="1"/>
  <c r="Q24" i="1"/>
  <c r="Q18" i="1"/>
  <c r="Q22" i="1"/>
  <c r="Q6" i="1"/>
  <c r="J20" i="1"/>
  <c r="Q11" i="1"/>
  <c r="Q15" i="1"/>
  <c r="G33" i="4"/>
  <c r="M34" i="5" s="1"/>
  <c r="G13" i="4"/>
  <c r="M14" i="5" s="1"/>
  <c r="Q27" i="5"/>
  <c r="G51" i="4"/>
  <c r="M52" i="5" s="1"/>
  <c r="Q256" i="2"/>
  <c r="Q23" i="5"/>
  <c r="Q13" i="5"/>
  <c r="R170" i="2"/>
  <c r="R233" i="1"/>
  <c r="I207" i="1"/>
  <c r="Q21" i="5"/>
  <c r="G19" i="3"/>
  <c r="H20" i="5" s="1"/>
  <c r="Q35" i="5"/>
  <c r="P207" i="1"/>
  <c r="P249" i="1" s="1"/>
  <c r="P283" i="1" s="1"/>
  <c r="G39" i="3"/>
  <c r="H40" i="5" s="1"/>
  <c r="P170" i="1"/>
  <c r="F27" i="3" s="1"/>
  <c r="G28" i="5" s="1"/>
  <c r="P256" i="1"/>
  <c r="P267" i="1" s="1"/>
  <c r="J259" i="1"/>
  <c r="Q8" i="5"/>
  <c r="Q20" i="5"/>
  <c r="G19" i="4"/>
  <c r="M20" i="5" s="1"/>
  <c r="J255" i="1"/>
  <c r="R259" i="1"/>
  <c r="P207" i="2"/>
  <c r="G41" i="3"/>
  <c r="H42" i="5" s="1"/>
  <c r="G11" i="3"/>
  <c r="H12" i="5" s="1"/>
  <c r="R52" i="1"/>
  <c r="G25" i="3"/>
  <c r="H26" i="5" s="1"/>
  <c r="R44" i="2"/>
  <c r="P255" i="1"/>
  <c r="F43" i="3" s="1"/>
  <c r="G44" i="5" s="1"/>
  <c r="Q274" i="1"/>
  <c r="Q281" i="1" s="1"/>
  <c r="Q14" i="5"/>
  <c r="G13" i="3"/>
  <c r="H14" i="5" s="1"/>
  <c r="G29" i="4"/>
  <c r="M30" i="5" s="1"/>
  <c r="Q30" i="5"/>
  <c r="R102" i="2"/>
  <c r="Q257" i="1"/>
  <c r="Q268" i="1" s="1"/>
  <c r="R237" i="1"/>
  <c r="G39" i="4"/>
  <c r="M40" i="5" s="1"/>
  <c r="G25" i="4"/>
  <c r="M26" i="5" s="1"/>
  <c r="R48" i="2"/>
  <c r="Q10" i="2"/>
  <c r="F6" i="4" s="1"/>
  <c r="L7" i="5" s="1"/>
  <c r="R144" i="2"/>
  <c r="R110" i="1"/>
  <c r="Q273" i="2"/>
  <c r="Q280" i="2" s="1"/>
  <c r="R211" i="1"/>
  <c r="G47" i="3"/>
  <c r="H48" i="5" s="1"/>
  <c r="G21" i="4"/>
  <c r="M22" i="5" s="1"/>
  <c r="Q257" i="2"/>
  <c r="F46" i="4" s="1"/>
  <c r="L47" i="5" s="1"/>
  <c r="J272" i="1"/>
  <c r="G7" i="4"/>
  <c r="M8" i="5" s="1"/>
  <c r="Q41" i="5"/>
  <c r="G51" i="3"/>
  <c r="H52" i="5" s="1"/>
  <c r="Q15" i="5"/>
  <c r="R279" i="1" l="1"/>
  <c r="F4" i="4"/>
  <c r="L5" i="5" s="1"/>
  <c r="F8" i="3"/>
  <c r="G9" i="5" s="1"/>
  <c r="F4" i="3"/>
  <c r="G5" i="5" s="1"/>
  <c r="F6" i="3"/>
  <c r="G7" i="5" s="1"/>
  <c r="I249" i="1"/>
  <c r="J248" i="1" s="1"/>
  <c r="D32" i="3"/>
  <c r="F50" i="3"/>
  <c r="G51" i="5" s="1"/>
  <c r="Q250" i="1"/>
  <c r="F16" i="3"/>
  <c r="G17" i="5" s="1"/>
  <c r="Q4" i="5"/>
  <c r="P282" i="1"/>
  <c r="P266" i="1"/>
  <c r="R279" i="2"/>
  <c r="Q284" i="2"/>
  <c r="Q268" i="2"/>
  <c r="Q267" i="2"/>
  <c r="R5" i="2"/>
  <c r="Q285" i="2"/>
  <c r="R89" i="1"/>
  <c r="Q251" i="1"/>
  <c r="Q285" i="1" s="1"/>
  <c r="I283" i="1"/>
  <c r="J282" i="1" s="1"/>
  <c r="R272" i="2"/>
  <c r="P282" i="2"/>
  <c r="Q250" i="2"/>
  <c r="Q90" i="2"/>
  <c r="F16" i="4" s="1"/>
  <c r="L17" i="5" s="1"/>
  <c r="G37" i="4"/>
  <c r="M38" i="5" s="1"/>
  <c r="Q42" i="5"/>
  <c r="R9" i="1"/>
  <c r="J206" i="1"/>
  <c r="G29" i="3"/>
  <c r="H30" i="5" s="1"/>
  <c r="R20" i="1"/>
  <c r="R17" i="1"/>
  <c r="R5" i="1"/>
  <c r="R13" i="1"/>
  <c r="R23" i="1"/>
  <c r="R14" i="5"/>
  <c r="R52" i="5"/>
  <c r="Q48" i="5"/>
  <c r="Q11" i="5"/>
  <c r="R272" i="1"/>
  <c r="G27" i="4"/>
  <c r="M28" i="5" s="1"/>
  <c r="G35" i="4"/>
  <c r="M36" i="5" s="1"/>
  <c r="Q37" i="5"/>
  <c r="G17" i="3"/>
  <c r="H18" i="5" s="1"/>
  <c r="Q19" i="5"/>
  <c r="R20" i="5"/>
  <c r="G35" i="3"/>
  <c r="H36" i="5" s="1"/>
  <c r="Q207" i="1"/>
  <c r="Q25" i="5"/>
  <c r="G23" i="3"/>
  <c r="H24" i="5" s="1"/>
  <c r="Q38" i="5"/>
  <c r="G37" i="3"/>
  <c r="H38" i="5" s="1"/>
  <c r="Q18" i="5"/>
  <c r="G17" i="4"/>
  <c r="M18" i="5" s="1"/>
  <c r="Q26" i="5"/>
  <c r="Q16" i="5"/>
  <c r="Q6" i="5"/>
  <c r="Q22" i="5"/>
  <c r="G21" i="3"/>
  <c r="H22" i="5" s="1"/>
  <c r="R9" i="2"/>
  <c r="Q12" i="5"/>
  <c r="G11" i="4"/>
  <c r="M12" i="5" s="1"/>
  <c r="R40" i="5"/>
  <c r="G23" i="4"/>
  <c r="M24" i="5" s="1"/>
  <c r="Q24" i="5"/>
  <c r="G9" i="4"/>
  <c r="M10" i="5" s="1"/>
  <c r="Q40" i="5"/>
  <c r="Q34" i="5"/>
  <c r="G33" i="3"/>
  <c r="H34" i="5" s="1"/>
  <c r="Q50" i="5"/>
  <c r="G9" i="3"/>
  <c r="H10" i="5" s="1"/>
  <c r="R170" i="1"/>
  <c r="Q36" i="5"/>
  <c r="Q207" i="2"/>
  <c r="F32" i="4" s="1"/>
  <c r="L33" i="5" s="1"/>
  <c r="Q256" i="1"/>
  <c r="Q46" i="5"/>
  <c r="G45" i="3"/>
  <c r="H46" i="5" s="1"/>
  <c r="R255" i="2"/>
  <c r="R26" i="5"/>
  <c r="E33" i="5" l="1"/>
  <c r="E54" i="5" s="1"/>
  <c r="D53" i="3"/>
  <c r="F53" i="3" s="1"/>
  <c r="O33" i="5"/>
  <c r="O54" i="5" s="1"/>
  <c r="L54" i="5"/>
  <c r="Q267" i="1"/>
  <c r="Q284" i="1" s="1"/>
  <c r="F44" i="3"/>
  <c r="G45" i="5" s="1"/>
  <c r="Q249" i="1"/>
  <c r="R248" i="1" s="1"/>
  <c r="F32" i="3"/>
  <c r="G33" i="5" s="1"/>
  <c r="G15" i="3"/>
  <c r="H16" i="5" s="1"/>
  <c r="R282" i="2"/>
  <c r="R266" i="2"/>
  <c r="Q47" i="5"/>
  <c r="G45" i="4"/>
  <c r="Q283" i="1"/>
  <c r="R248" i="2"/>
  <c r="Q5" i="5"/>
  <c r="G3" i="4"/>
  <c r="M4" i="5" s="1"/>
  <c r="R89" i="2"/>
  <c r="R255" i="1"/>
  <c r="Q49" i="5"/>
  <c r="G47" i="4"/>
  <c r="M48" i="5" s="1"/>
  <c r="R12" i="5"/>
  <c r="R38" i="5"/>
  <c r="R30" i="5"/>
  <c r="R34" i="5"/>
  <c r="R22" i="5"/>
  <c r="R206" i="1"/>
  <c r="G5" i="3"/>
  <c r="H6" i="5" s="1"/>
  <c r="Q9" i="5"/>
  <c r="G7" i="3"/>
  <c r="H8" i="5" s="1"/>
  <c r="G3" i="3"/>
  <c r="H4" i="5" s="1"/>
  <c r="G49" i="3"/>
  <c r="H50" i="5" s="1"/>
  <c r="R36" i="5"/>
  <c r="R18" i="5"/>
  <c r="R24" i="5"/>
  <c r="R10" i="5"/>
  <c r="Q51" i="5"/>
  <c r="G49" i="4"/>
  <c r="M50" i="5" s="1"/>
  <c r="Q44" i="5"/>
  <c r="Q28" i="5"/>
  <c r="G27" i="3"/>
  <c r="H28" i="5" s="1"/>
  <c r="Q7" i="5"/>
  <c r="G5" i="4"/>
  <c r="M6" i="5" s="1"/>
  <c r="R206" i="2"/>
  <c r="Q10" i="5"/>
  <c r="G54" i="5" l="1"/>
  <c r="M46" i="5"/>
  <c r="R46" i="5" s="1"/>
  <c r="R282" i="1"/>
  <c r="R266" i="1"/>
  <c r="R4" i="5"/>
  <c r="Q17" i="5"/>
  <c r="G15" i="4"/>
  <c r="G43" i="4"/>
  <c r="M44" i="5" s="1"/>
  <c r="R48" i="5"/>
  <c r="R8" i="5"/>
  <c r="Q32" i="5"/>
  <c r="R50" i="5"/>
  <c r="G31" i="3"/>
  <c r="Q45" i="5"/>
  <c r="Q33" i="5"/>
  <c r="G31" i="4"/>
  <c r="N54" i="5"/>
  <c r="G43" i="3"/>
  <c r="H44" i="5" s="1"/>
  <c r="M32" i="5" l="1"/>
  <c r="H32" i="5"/>
  <c r="H54" i="5" s="1"/>
  <c r="G53" i="3"/>
  <c r="M16" i="5"/>
  <c r="Q43" i="5"/>
  <c r="Q54" i="5" s="1"/>
  <c r="G41" i="4"/>
  <c r="G53" i="4" s="1"/>
  <c r="R44" i="5"/>
  <c r="R6" i="5"/>
  <c r="R28" i="5"/>
  <c r="R32" i="5" l="1"/>
  <c r="R16" i="5"/>
  <c r="M42" i="5"/>
  <c r="R42" i="5" s="1"/>
  <c r="R54" i="5" l="1"/>
  <c r="M54" i="5"/>
  <c r="F53" i="4" l="1"/>
  <c r="P54" i="5"/>
  <c r="K54"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<sst xmlns="http://schemas.openxmlformats.org/spreadsheetml/2006/main" count="1037" uniqueCount="120">
  <si>
    <t>คณะ/ภาควิชา</t>
  </si>
  <si>
    <t>SCH</t>
  </si>
  <si>
    <t>FTES</t>
  </si>
  <si>
    <t>FTES ปรับค่า</t>
  </si>
  <si>
    <t>FTES ปรับค่า +ป.ตรี</t>
  </si>
  <si>
    <t>FTES 
ทั้งปี
ปรับค่า</t>
  </si>
  <si>
    <t>คณะบริหารธุรกิจ</t>
  </si>
  <si>
    <t>สำนักงานจัดการศึกษา</t>
  </si>
  <si>
    <t>ปริญญาตรี</t>
  </si>
  <si>
    <t>ปริญญาโท</t>
  </si>
  <si>
    <t>ปริญญาเอก</t>
  </si>
  <si>
    <t>คณะดนตรีและการแสดง</t>
  </si>
  <si>
    <t>คณะพยาบาลศาสตร์</t>
  </si>
  <si>
    <t>คณะแพทยศาสตร์</t>
  </si>
  <si>
    <t>เวชศาสตร์ชุมชนและเวชศาสตร์ครอบครัว</t>
  </si>
  <si>
    <t>สูตินรีเวชวิทยา</t>
  </si>
  <si>
    <t>อายุรศาสตร์</t>
  </si>
  <si>
    <t>ศัลยศาสตร์</t>
  </si>
  <si>
    <t>กุมารเวชศาสตร์</t>
  </si>
  <si>
    <t>จักษุ โสต นาสิก ลาริงซ์วิทยา</t>
  </si>
  <si>
    <t>พยาธิวิทยาและนิติเวชศาสตร์</t>
  </si>
  <si>
    <t>รังสีวิทยาและเวชศาสตร์นิวเคลียร์</t>
  </si>
  <si>
    <t>รวมทั้งคณะ</t>
  </si>
  <si>
    <t>คณะภูมิสารสนเทศศาสตร์</t>
  </si>
  <si>
    <t>คณะเภสัชศาสตร์</t>
  </si>
  <si>
    <t>คณะมนุษยศาสตร์และสังคมศาสตร์</t>
  </si>
  <si>
    <t>จิตวิทยา</t>
  </si>
  <si>
    <t>นิเทศศาสตร์</t>
  </si>
  <si>
    <t>ประวัติศาสตร์</t>
  </si>
  <si>
    <t>ภาษาตะวันตก</t>
  </si>
  <si>
    <t>ภาษาตะวันออก</t>
  </si>
  <si>
    <t>ภาษาไทย</t>
  </si>
  <si>
    <t>มนุษยศาสตร์และสังคมศาสตร์</t>
  </si>
  <si>
    <t>ศาสนาและปรัชญา</t>
  </si>
  <si>
    <t>เศรษฐศาสตร์</t>
  </si>
  <si>
    <t>สังคมวิทยา</t>
  </si>
  <si>
    <t>สารสนเทศศึกษา</t>
  </si>
  <si>
    <t>คณะรัฐศาสตร์และนิติศาสตร์</t>
  </si>
  <si>
    <t>นิติศาสตร์</t>
  </si>
  <si>
    <t>รัฐศาสตร์</t>
  </si>
  <si>
    <t>รัฐประศาสนศาสตร์</t>
  </si>
  <si>
    <t>คณะโลจิสติกส์</t>
  </si>
  <si>
    <t>คณะวิทยาการสารสนเทศ</t>
  </si>
  <si>
    <t>คณะวิทยาศาสตร์</t>
  </si>
  <si>
    <t>คณิตศาสตร์</t>
  </si>
  <si>
    <t>เคมี</t>
  </si>
  <si>
    <t>จุลชีววิทยา</t>
  </si>
  <si>
    <t>ชีวเคมี</t>
  </si>
  <si>
    <t>ชีววิทยา</t>
  </si>
  <si>
    <t>เทคโนโลยีชีวภาพ</t>
  </si>
  <si>
    <t>ฟิสิกส์</t>
  </si>
  <si>
    <t>วาริชศาสตร์</t>
  </si>
  <si>
    <t>วิทยาศาสตร์</t>
  </si>
  <si>
    <t>วิทยาศาสตร์การอาหาร</t>
  </si>
  <si>
    <t>คณะวิทยาศาสตร์การกีฬา</t>
  </si>
  <si>
    <t>คณะวิศวกรรมศาสตร์</t>
  </si>
  <si>
    <t>วิศวกรรมศาสตร์</t>
  </si>
  <si>
    <t>วิศวกรรมเคมี</t>
  </si>
  <si>
    <t>วิศวกรรมเครื่องกล</t>
  </si>
  <si>
    <t>วิศวกรรมไฟฟ้า</t>
  </si>
  <si>
    <t>วิศวกรรมโยธา</t>
  </si>
  <si>
    <t>วิศวกรรมอุตสาหการ</t>
  </si>
  <si>
    <t>คณะศิลปกรรมศาสตร์</t>
  </si>
  <si>
    <t>คณะศึกษาศาสตร์</t>
  </si>
  <si>
    <t>ป.บัณฑิต</t>
  </si>
  <si>
    <t>การจัดการเรียนรู้</t>
  </si>
  <si>
    <t>การบริหารการศึกษา</t>
  </si>
  <si>
    <t>การอาชีวศึกษาและพัฒนาสังคม</t>
  </si>
  <si>
    <t>นวัตกรรมและเทคโนโลยีการศึกษา</t>
  </si>
  <si>
    <t>บัณฑิตศึกษานานาชาติการพัฒนาทรัพยากรมนุษย์</t>
  </si>
  <si>
    <t>วิจัยและจิตวิทยาประยุกต์</t>
  </si>
  <si>
    <t>คณะสหเวชศาสตร์</t>
  </si>
  <si>
    <t>คณะสาธารณสุขศาสตร์</t>
  </si>
  <si>
    <t>พื้นฐานสาธารณสุข</t>
  </si>
  <si>
    <t>สาธารณสุขศาสตร์</t>
  </si>
  <si>
    <t>สุขศาสตร์อุตสาหกรรมและความปลอดภัย</t>
  </si>
  <si>
    <t>สุขศึกษา</t>
  </si>
  <si>
    <t>อนามัยสิ่งแวดล้อม</t>
  </si>
  <si>
    <t>การสาธารณสุขชุมชน</t>
  </si>
  <si>
    <t>วิทยาลัยนานาชาติ</t>
  </si>
  <si>
    <t>วิทยาลัยวิทยาการวิจัยและวิทยาการปัญญา</t>
  </si>
  <si>
    <t>สถาบันภาษา</t>
  </si>
  <si>
    <t>รวมทั้งวิทยาเขตบางแสน</t>
  </si>
  <si>
    <t>มหาวิทยาลัยบูรพาวิทยาเขตจันทบุรี</t>
  </si>
  <si>
    <t>คณะเทคโนโลยีทางทะเล</t>
  </si>
  <si>
    <t>คณะวิทยาศาสตร์และศิลปศาสตร์</t>
  </si>
  <si>
    <t>คณะอัญมณี</t>
  </si>
  <si>
    <t>รวมทั้งวิทยาเขตจันทบุรี</t>
  </si>
  <si>
    <t>มหาวิทยาลัยบูรพาวิทยาเขตสระแก้ว</t>
  </si>
  <si>
    <t>คณะวิทยาศาสตร์และสังคมศาสตร์</t>
  </si>
  <si>
    <t>คณะเทคโนโลยีการเกษตร</t>
  </si>
  <si>
    <t>รวมทั้งวิทยาเขตสระแก้ว</t>
  </si>
  <si>
    <t>รวมทั้งมหาวิทยาลัย</t>
  </si>
  <si>
    <t>คณะ/วิทยาลัย</t>
  </si>
  <si>
    <t>ระดับ</t>
  </si>
  <si>
    <t>รวม 3 เทอม</t>
  </si>
  <si>
    <t>รวมทั้งหมด</t>
  </si>
  <si>
    <t>บัณฑิตศึกษา</t>
  </si>
  <si>
    <t>ภาคปกติ</t>
  </si>
  <si>
    <t>ภาคพิเศษ</t>
  </si>
  <si>
    <t>ภาคปกติ+พิเศษ</t>
  </si>
  <si>
    <t>2/68</t>
  </si>
  <si>
    <t>2/2568</t>
  </si>
  <si>
    <t>3/2568</t>
  </si>
  <si>
    <t>3/68</t>
  </si>
  <si>
    <t>ปิด</t>
  </si>
  <si>
    <t>ระดับ
ของวิชา</t>
  </si>
  <si>
    <t>FTES ปรับค่า 
+ป.ตรี</t>
  </si>
  <si>
    <t>พยา</t>
  </si>
  <si>
    <t>ปัญญา</t>
  </si>
  <si>
    <t>SCH
ทั้งปี</t>
  </si>
  <si>
    <t>FTES
ทั้งปี</t>
  </si>
  <si>
    <t>1/2568</t>
  </si>
  <si>
    <t>FTES ปีการศึกษา 2568 ภาคปกติ</t>
  </si>
  <si>
    <t>รวมทั้งปีการศึกษา 2568</t>
  </si>
  <si>
    <t>FTES ปีการศึกษา 2568 ภาคพิเศษ</t>
  </si>
  <si>
    <t>จำนวนนิสิตเต็มเวลา ปีการศึกษา 2568 ภาคปกติ</t>
  </si>
  <si>
    <t>จำนวนนิสิตเต็มเวลา ปีการศึกษา 2568 ภาคพิเศษ</t>
  </si>
  <si>
    <t>FTES ปีการศึกษา 2568 ภาคปกติ+พิเศษ</t>
  </si>
  <si>
    <t>1/68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</si>
</sst>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7" formatCode="#,##0;;\-"/>
    <numFmt numFmtId="188" formatCode="#,##0.00;;\-"/>
    <numFmt numFmtId="189" formatCode="#,##0.0000;;\-"/>
  </numFmts>
  <fonts count="28" x14ac:knownFonts="1">
    <font>
      <sz val="11"/>
      <color theme="1"/>
      <name val="Arial"/>
    </font>
    <font>
      <sz val="16"/>
      <color theme="1"/>
      <name val="TH SarabunPSK"/>
      <family val="2"/>
      <charset val="222"/>
    </font>
    <font>
      <sz val="16"/>
      <color theme="1"/>
      <name val="TH SarabunPSK"/>
      <family val="2"/>
      <charset val="222"/>
    </font>
    <font>
      <b/>
      <sz val="16"/>
      <color theme="1"/>
      <name val="TH SarabunPSK"/>
      <family val="2"/>
    </font>
    <font>
      <sz val="11"/>
      <color theme="1"/>
      <name val="TH SarabunPSK"/>
      <family val="2"/>
    </font>
    <font>
      <sz val="11"/>
      <name val="TH SarabunPSK"/>
      <family val="2"/>
    </font>
    <font>
      <b/>
      <sz val="18"/>
      <color theme="1"/>
      <name val="TH SarabunPSK"/>
      <family val="2"/>
    </font>
    <font>
      <sz val="16"/>
      <color theme="1"/>
      <name val="TH SarabunPSK"/>
      <family val="2"/>
    </font>
    <font>
      <sz val="11"/>
      <color theme="1"/>
      <name val="Arial"/>
      <family val="2"/>
    </font>
    <font>
      <b/>
      <sz val="16"/>
      <color rgb="FF000000"/>
      <name val="TH SarabunPSK"/>
      <family val="2"/>
    </font>
    <font>
      <u/>
      <sz val="11"/>
      <color theme="10"/>
      <name val="Arial"/>
      <family val="2"/>
    </font>
    <font>
      <b/>
      <sz val="16"/>
      <color theme="0"/>
      <name val="TH SarabunPSK"/>
      <family val="2"/>
      <charset val="222"/>
    </font>
    <font>
      <b/>
      <sz val="16"/>
      <color theme="1"/>
      <name val="TH SarabunPSK"/>
      <family val="2"/>
      <charset val="222"/>
    </font>
    <font>
      <sz val="16"/>
      <name val="TH SarabunPSK"/>
      <family val="2"/>
      <charset val="222"/>
    </font>
    <font>
      <b/>
      <sz val="16"/>
      <name val="TH SarabunPSK"/>
      <family val="2"/>
      <charset val="222"/>
    </font>
    <font>
      <sz val="16"/>
      <color theme="1"/>
      <name val="Arial"/>
      <family val="2"/>
    </font>
    <font>
      <sz val="16"/>
      <color rgb="FF0070C0"/>
      <name val="TH SarabunPSK"/>
      <family val="2"/>
      <charset val="222"/>
    </font>
    <font>
      <sz val="16"/>
      <color rgb="FF2E75B5"/>
      <name val="TH SarabunPSK"/>
      <family val="2"/>
      <charset val="222"/>
    </font>
    <font>
      <sz val="16"/>
      <color theme="1"/>
      <name val="Arial"/>
      <family val="2"/>
      <charset val="222"/>
    </font>
    <font>
      <u/>
      <sz val="11"/>
      <color theme="10"/>
      <name val="Arial"/>
      <family val="2"/>
    </font>
    <font>
      <sz val="16"/>
      <name val="TH SarabunPSK"/>
      <family val="2"/>
    </font>
    <font>
      <sz val="14"/>
      <color theme="1"/>
      <name val="TH SarabunPSK"/>
      <family val="2"/>
    </font>
    <font>
      <sz val="15"/>
      <color theme="1"/>
      <name val="TH SarabunPSK"/>
      <family val="2"/>
    </font>
    <font>
      <b/>
      <sz val="16"/>
      <color rgb="FFECECEC"/>
      <name val="TH SarabunPSK"/>
      <family val="2"/>
      <charset val="222"/>
    </font>
    <font>
      <b/>
      <sz val="16"/>
      <color rgb="FFFBE4D5"/>
      <name val="TH SarabunPSK"/>
      <family val="2"/>
      <charset val="222"/>
    </font>
    <font>
      <b/>
      <sz val="16"/>
      <color rgb="FFA8D08D"/>
      <name val="TH SarabunPSK"/>
      <family val="2"/>
      <charset val="222"/>
    </font>
    <font>
      <b/>
      <sz val="16"/>
      <name val="TH SarabunPSK"/>
      <family val="2"/>
    </font>
    <font>
      <sz val="14"/>
      <name val="TH SarabunPSK"/>
      <family val="2"/>
    </font>
  </fonts>
  <fills count="12">
    <fill>
      <patternFill patternType="none"/>
    </fill>
    <fill>
      <patternFill patternType="gray125"/>
    </fill>
    <fill>
      <patternFill patternType="solid">
        <fgColor rgb="FFBDD6EE"/>
        <bgColor rgb="FFBDD6EE"/>
      </patternFill>
    </fill>
    <fill>
      <patternFill patternType="solid">
        <fgColor rgb="FFECECEC"/>
        <bgColor rgb="FFECECEC"/>
      </patternFill>
    </fill>
    <fill>
      <patternFill patternType="solid">
        <fgColor rgb="FFFBE4D5"/>
        <bgColor rgb="FFFBE4D5"/>
      </patternFill>
    </fill>
    <fill>
      <patternFill patternType="solid">
        <fgColor rgb="FFD0CECE"/>
        <bgColor rgb="FFD0CECE"/>
      </patternFill>
    </fill>
    <fill>
      <patternFill patternType="solid">
        <fgColor rgb="FFA8D08D"/>
        <bgColor rgb="FFA8D08D"/>
      </patternFill>
    </fill>
    <fill>
      <patternFill patternType="solid">
        <fgColor theme="8" tint="0.59999389629810485"/>
        <bgColor rgb="FFA8D08D"/>
      </patternFill>
    </fill>
    <fill>
      <patternFill patternType="solid">
        <fgColor rgb="FFECECEC"/>
        <bgColor indexed="64"/>
      </patternFill>
    </fill>
    <fill>
      <patternFill patternType="solid">
        <fgColor rgb="FFECECEC"/>
        <bgColor theme="0"/>
      </patternFill>
    </fill>
    <fill>
      <patternFill patternType="solid">
        <fgColor rgb="FFA8D08D"/>
        <bgColor indexed="64"/>
      </patternFill>
    </fill>
    <fill>
      <patternFill patternType="solid">
        <fgColor rgb="FFBDD6EE"/>
        <bgColor indexed="64"/>
      </patternFill>
    </fill>
  </fills>
  <borders count="111">
    <border>
      <left/>
      <right/>
      <top/>
      <bottom/>
      <diagonal/>
    </border>
    <border>
      <left/>
      <right/>
      <top/>
      <bottom style="thin">
        <color rgb="FF000000"/>
      </bottom>
      <diagonal/>
    </border>
    <border>
      <left style="medium">
        <color rgb="FFC00000"/>
      </left>
      <right/>
      <top style="thin">
        <color rgb="FF000000"/>
      </top>
      <bottom style="thin">
        <color rgb="FF000000"/>
      </bottom>
      <diagonal/>
    </border>
    <border>
      <left/>
      <right/>
      <top style="thin">
        <color rgb="FF000000"/>
      </top>
      <bottom style="thin">
        <color rgb="FF000000"/>
      </bottom>
      <diagonal/>
    </border>
    <border>
      <left/>
      <right style="medium">
        <color rgb="FFC00000"/>
      </right>
      <top style="thin">
        <color rgb="FF000000"/>
      </top>
      <bottom style="thin">
        <color rgb="FF000000"/>
      </bottom>
      <diagonal/>
    </border>
    <border>
      <left style="medium">
        <color rgb="FFC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C00000"/>
      </right>
      <top style="thin">
        <color rgb="FF000000"/>
      </top>
      <bottom style="thin">
        <color rgb="FF000000"/>
      </bottom>
      <diagonal/>
    </border>
    <border>
      <left style="medium">
        <color rgb="FFC00000"/>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medium">
        <color rgb="FFC00000"/>
      </right>
      <top style="thin">
        <color rgb="FF000000"/>
      </top>
      <bottom style="hair">
        <color rgb="FF000000"/>
      </bottom>
      <diagonal/>
    </border>
    <border>
      <left style="medium">
        <color rgb="FFC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C00000"/>
      </right>
      <top style="hair">
        <color rgb="FF000000"/>
      </top>
      <bottom style="hair">
        <color rgb="FF000000"/>
      </bottom>
      <diagonal/>
    </border>
    <border>
      <left style="medium">
        <color rgb="FFC00000"/>
      </left>
      <right style="thin">
        <color rgb="FF000000"/>
      </right>
      <top style="hair">
        <color rgb="FF000000"/>
      </top>
      <bottom style="medium">
        <color rgb="FFC00000"/>
      </bottom>
      <diagonal/>
    </border>
    <border>
      <left style="thin">
        <color rgb="FF000000"/>
      </left>
      <right style="thin">
        <color rgb="FF000000"/>
      </right>
      <top style="hair">
        <color rgb="FF000000"/>
      </top>
      <bottom style="medium">
        <color rgb="FFC00000"/>
      </bottom>
      <diagonal/>
    </border>
    <border>
      <left style="thin">
        <color rgb="FF000000"/>
      </left>
      <right style="medium">
        <color rgb="FFC00000"/>
      </right>
      <top style="hair">
        <color rgb="FF000000"/>
      </top>
      <bottom style="medium">
        <color rgb="FFC00000"/>
      </bottom>
      <diagonal/>
    </border>
    <border>
      <left style="thin">
        <color rgb="FF000000"/>
      </left>
      <right style="thin">
        <color rgb="FF000000"/>
      </right>
      <top/>
      <bottom style="hair">
        <color rgb="FF000000"/>
      </bottom>
      <diagonal/>
    </border>
    <border>
      <left style="thin">
        <color rgb="FF000000"/>
      </left>
      <right style="medium">
        <color rgb="FFC00000"/>
      </right>
      <top/>
      <bottom style="hair">
        <color rgb="FF000000"/>
      </bottom>
      <diagonal/>
    </border>
    <border>
      <left/>
      <right style="thin">
        <color rgb="FF000000"/>
      </right>
      <top style="hair">
        <color rgb="FF000000"/>
      </top>
      <bottom style="hair">
        <color rgb="FF000000"/>
      </bottom>
      <diagonal/>
    </border>
    <border>
      <left style="thin">
        <color rgb="FF000000"/>
      </left>
      <right style="medium">
        <color rgb="FFC00000"/>
      </right>
      <top style="medium">
        <color rgb="FFC00000"/>
      </top>
      <bottom style="hair">
        <color rgb="FF000000"/>
      </bottom>
      <diagonal/>
    </border>
    <border>
      <left/>
      <right style="thin">
        <color rgb="FF000000"/>
      </right>
      <top style="hair">
        <color rgb="FF000000"/>
      </top>
      <bottom style="medium">
        <color rgb="FFC00000"/>
      </bottom>
      <diagonal/>
    </border>
    <border>
      <left style="thin">
        <color rgb="FF000000"/>
      </left>
      <right/>
      <top style="hair">
        <color rgb="FF000000"/>
      </top>
      <bottom style="medium">
        <color rgb="FFC00000"/>
      </bottom>
      <diagonal/>
    </border>
    <border>
      <left style="medium">
        <color rgb="FFC00000"/>
      </left>
      <right style="thin">
        <color rgb="FF000000"/>
      </right>
      <top/>
      <bottom style="hair">
        <color rgb="FF000000"/>
      </bottom>
      <diagonal/>
    </border>
    <border>
      <left/>
      <right/>
      <top style="medium">
        <color rgb="FFC00000"/>
      </top>
      <bottom/>
      <diagonal/>
    </border>
    <border>
      <left style="thin">
        <color theme="1"/>
      </left>
      <right style="thin">
        <color theme="1"/>
      </right>
      <top style="thin">
        <color theme="1"/>
      </top>
      <bottom/>
      <diagonal/>
    </border>
    <border>
      <left style="thin">
        <color theme="1"/>
      </left>
      <right style="thin">
        <color theme="1"/>
      </right>
      <top style="thin">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medium">
        <color rgb="FF000000"/>
      </right>
      <top/>
      <bottom style="hair">
        <color theme="1"/>
      </bottom>
      <diagonal/>
    </border>
    <border>
      <left style="thin">
        <color rgb="FF000000"/>
      </left>
      <right style="thin">
        <color rgb="FF000000"/>
      </right>
      <top/>
      <bottom style="hair">
        <color theme="1"/>
      </bottom>
      <diagonal/>
    </border>
    <border>
      <left style="thin">
        <color theme="1"/>
      </left>
      <right style="medium">
        <color rgb="FF000000"/>
      </right>
      <top style="hair">
        <color theme="1"/>
      </top>
      <bottom style="thin">
        <color theme="1"/>
      </bottom>
      <diagonal/>
    </border>
    <border>
      <left style="thin">
        <color rgb="FF000000"/>
      </left>
      <right style="thin">
        <color rgb="FF000000"/>
      </right>
      <top style="hair">
        <color theme="1"/>
      </top>
      <bottom style="thin">
        <color theme="1"/>
      </bottom>
      <diagonal/>
    </border>
    <border>
      <left style="thin">
        <color rgb="FF000000"/>
      </left>
      <right style="medium">
        <color rgb="FF000000"/>
      </right>
      <top style="hair">
        <color theme="1"/>
      </top>
      <bottom style="thin">
        <color theme="1"/>
      </bottom>
      <diagonal/>
    </border>
    <border>
      <left style="thin">
        <color theme="1"/>
      </left>
      <right style="medium">
        <color rgb="FF000000"/>
      </right>
      <top style="thin">
        <color theme="1"/>
      </top>
      <bottom style="hair">
        <color theme="1"/>
      </bottom>
      <diagonal/>
    </border>
    <border>
      <left style="thin">
        <color rgb="FF000000"/>
      </left>
      <right style="thin">
        <color rgb="FF000000"/>
      </right>
      <top style="thin">
        <color theme="1"/>
      </top>
      <bottom style="hair">
        <color theme="1"/>
      </bottom>
      <diagonal/>
    </border>
    <border>
      <left style="medium">
        <color rgb="FF000000"/>
      </left>
      <right style="thin">
        <color rgb="FF000000"/>
      </right>
      <top style="thin">
        <color theme="1"/>
      </top>
      <bottom style="medium">
        <color rgb="FF000000"/>
      </bottom>
      <diagonal/>
    </border>
    <border>
      <left style="thin">
        <color rgb="FF000000"/>
      </left>
      <right style="medium">
        <color rgb="FF000000"/>
      </right>
      <top style="thin">
        <color theme="1"/>
      </top>
      <bottom style="medium">
        <color rgb="FF000000"/>
      </bottom>
      <diagonal/>
    </border>
    <border>
      <left/>
      <right style="thin">
        <color rgb="FF000000"/>
      </right>
      <top style="thin">
        <color theme="1"/>
      </top>
      <bottom style="medium">
        <color rgb="FF000000"/>
      </bottom>
      <diagonal/>
    </border>
    <border>
      <left style="thin">
        <color theme="1"/>
      </left>
      <right style="thin">
        <color theme="1"/>
      </right>
      <top style="thin">
        <color rgb="FF000000"/>
      </top>
      <bottom style="thin">
        <color indexed="64"/>
      </bottom>
      <diagonal/>
    </border>
    <border>
      <left style="thin">
        <color theme="1"/>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hair">
        <color theme="1"/>
      </bottom>
      <diagonal/>
    </border>
    <border>
      <left style="thin">
        <color theme="1"/>
      </left>
      <right/>
      <top style="hair">
        <color theme="1"/>
      </top>
      <bottom style="thin">
        <color theme="1"/>
      </bottom>
      <diagonal/>
    </border>
    <border>
      <left style="thin">
        <color rgb="FF000000"/>
      </left>
      <right/>
      <top style="thin">
        <color rgb="FF000000"/>
      </top>
      <bottom style="thin">
        <color rgb="FF000000"/>
      </bottom>
      <diagonal/>
    </border>
    <border>
      <left style="thin">
        <color theme="1"/>
      </left>
      <right style="thin">
        <color theme="1"/>
      </right>
      <top style="thin">
        <color rgb="FF000000"/>
      </top>
      <bottom/>
      <diagonal/>
    </border>
    <border>
      <left style="thin">
        <color theme="1"/>
      </left>
      <right style="thin">
        <color rgb="FF000000"/>
      </right>
      <top style="thin">
        <color rgb="FF000000"/>
      </top>
      <bottom/>
      <diagonal/>
    </border>
    <border>
      <left style="thin">
        <color rgb="FF000000"/>
      </left>
      <right style="thin">
        <color theme="1"/>
      </right>
      <top style="thin">
        <color theme="1"/>
      </top>
      <bottom/>
      <diagonal/>
    </border>
    <border>
      <left style="thin">
        <color rgb="FF000000"/>
      </left>
      <right style="medium">
        <color rgb="FFC00000"/>
      </right>
      <top style="hair">
        <color rgb="FF000000"/>
      </top>
      <bottom/>
      <diagonal/>
    </border>
    <border>
      <left style="thin">
        <color rgb="FF000000"/>
      </left>
      <right style="thin">
        <color rgb="FF000000"/>
      </right>
      <top style="hair">
        <color rgb="FF000000"/>
      </top>
      <bottom/>
      <diagonal/>
    </border>
    <border>
      <left style="thin">
        <color rgb="FF000000"/>
      </left>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00000"/>
      </left>
      <right style="thin">
        <color rgb="FF000000"/>
      </right>
      <top style="hair">
        <color rgb="FF000000"/>
      </top>
      <bottom/>
      <diagonal/>
    </border>
    <border>
      <left style="medium">
        <color rgb="FFC00000"/>
      </left>
      <right/>
      <top style="hair">
        <color rgb="FF000000"/>
      </top>
      <bottom style="hair">
        <color rgb="FF000000"/>
      </bottom>
      <diagonal/>
    </border>
    <border>
      <left style="medium">
        <color rgb="FFC00000"/>
      </left>
      <right/>
      <top style="hair">
        <color rgb="FF000000"/>
      </top>
      <bottom style="medium">
        <color rgb="FFC00000"/>
      </bottom>
      <diagonal/>
    </border>
    <border>
      <left style="thin">
        <color indexed="64"/>
      </left>
      <right style="thin">
        <color indexed="64"/>
      </right>
      <top style="medium">
        <color rgb="FFC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medium">
        <color rgb="FFC00000"/>
      </bottom>
      <diagonal/>
    </border>
    <border>
      <left/>
      <right/>
      <top style="medium">
        <color auto="1"/>
      </top>
      <bottom/>
      <diagonal/>
    </border>
    <border>
      <left style="medium">
        <color indexed="64"/>
      </left>
      <right/>
      <top style="medium">
        <color indexed="64"/>
      </top>
      <bottom/>
      <diagonal/>
    </border>
    <border>
      <left style="thin">
        <color rgb="FF000000"/>
      </left>
      <right style="medium">
        <color rgb="FF000000"/>
      </right>
      <top/>
      <bottom style="medium">
        <color rgb="FF000000"/>
      </bottom>
      <diagonal/>
    </border>
    <border>
      <left style="thin">
        <color theme="1"/>
      </left>
      <right style="thin">
        <color theme="1"/>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medium">
        <color rgb="FF000000"/>
      </bottom>
      <diagonal/>
    </border>
    <border>
      <left/>
      <right style="thin">
        <color theme="1"/>
      </right>
      <top/>
      <bottom style="medium">
        <color rgb="FF000000"/>
      </bottom>
      <diagonal/>
    </border>
    <border>
      <left style="thin">
        <color theme="1"/>
      </left>
      <right style="medium">
        <color theme="1"/>
      </right>
      <top style="medium">
        <color rgb="FF000000"/>
      </top>
      <bottom style="medium">
        <color theme="1"/>
      </bottom>
      <diagonal/>
    </border>
    <border>
      <left/>
      <right style="thin">
        <color rgb="FF000000"/>
      </right>
      <top style="medium">
        <color rgb="FF000000"/>
      </top>
      <bottom style="medium">
        <color rgb="FF000000"/>
      </bottom>
      <diagonal/>
    </border>
    <border>
      <left/>
      <right style="thin">
        <color rgb="FF000000"/>
      </right>
      <top style="medium">
        <color indexed="64"/>
      </top>
      <bottom style="medium">
        <color rgb="FF000000"/>
      </bottom>
      <diagonal/>
    </border>
    <border>
      <left style="thin">
        <color theme="1"/>
      </left>
      <right style="medium">
        <color theme="1"/>
      </right>
      <top style="medium">
        <color rgb="FF000000"/>
      </top>
      <bottom style="medium">
        <color rgb="FF000000"/>
      </bottom>
      <diagonal/>
    </border>
    <border>
      <left/>
      <right style="thin">
        <color theme="1"/>
      </right>
      <top style="medium">
        <color rgb="FF000000"/>
      </top>
      <bottom style="medium">
        <color rgb="FF000000"/>
      </bottom>
      <diagonal/>
    </border>
    <border>
      <left/>
      <right style="medium">
        <color indexed="64"/>
      </right>
      <top style="medium">
        <color indexed="64"/>
      </top>
      <bottom style="medium">
        <color rgb="FF000000"/>
      </bottom>
      <diagonal/>
    </border>
    <border>
      <left style="thin">
        <color theme="1"/>
      </left>
      <right style="thin">
        <color theme="1"/>
      </right>
      <top/>
      <bottom style="medium">
        <color rgb="FF000000"/>
      </bottom>
      <diagonal/>
    </border>
    <border>
      <left/>
      <right style="thin">
        <color rgb="FF000000"/>
      </right>
      <top/>
      <bottom style="medium">
        <color rgb="FF000000"/>
      </bottom>
      <diagonal/>
    </border>
    <border>
      <left style="thin">
        <color rgb="FF000000"/>
      </left>
      <right/>
      <top style="hair">
        <color theme="1"/>
      </top>
      <bottom style="thin">
        <color theme="1"/>
      </bottom>
      <diagonal/>
    </border>
    <border>
      <left/>
      <right/>
      <top/>
      <bottom style="hair">
        <color rgb="FF000000"/>
      </bottom>
      <diagonal/>
    </border>
    <border>
      <left/>
      <right/>
      <top style="medium">
        <color rgb="FF000000"/>
      </top>
      <bottom style="medium">
        <color rgb="FF000000"/>
      </bottom>
      <diagonal/>
    </border>
    <border>
      <left/>
      <right/>
      <top style="thin">
        <color theme="1"/>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style="thin">
        <color theme="1"/>
      </left>
      <right/>
      <top/>
      <bottom style="hair">
        <color theme="1"/>
      </bottom>
      <diagonal/>
    </border>
    <border>
      <left/>
      <right style="medium">
        <color rgb="FF000000"/>
      </right>
      <top style="medium">
        <color rgb="FF000000"/>
      </top>
      <bottom style="hair">
        <color theme="1"/>
      </bottom>
      <diagonal/>
    </border>
    <border>
      <left/>
      <right style="medium">
        <color rgb="FF000000"/>
      </right>
      <top style="hair">
        <color theme="1"/>
      </top>
      <bottom style="thin">
        <color theme="1"/>
      </bottom>
      <diagonal/>
    </border>
    <border>
      <left/>
      <right style="medium">
        <color rgb="FF000000"/>
      </right>
      <top/>
      <bottom style="hair">
        <color theme="1"/>
      </bottom>
      <diagonal/>
    </border>
    <border>
      <left/>
      <right style="medium">
        <color rgb="FF000000"/>
      </right>
      <top style="thin">
        <color theme="1"/>
      </top>
      <bottom style="hair">
        <color theme="1"/>
      </bottom>
      <diagonal/>
    </border>
    <border>
      <left style="medium">
        <color rgb="FFC00000"/>
      </left>
      <right style="thin">
        <color rgb="FF000000"/>
      </right>
      <top style="medium">
        <color rgb="FFC00000"/>
      </top>
      <bottom style="hair">
        <color rgb="FF000000"/>
      </bottom>
      <diagonal/>
    </border>
    <border>
      <left/>
      <right/>
      <top style="hair">
        <color rgb="FF000000"/>
      </top>
      <bottom style="hair">
        <color rgb="FF000000"/>
      </bottom>
      <diagonal/>
    </border>
    <border>
      <left style="medium">
        <color rgb="FFC00000"/>
      </left>
      <right style="medium">
        <color rgb="FFC00000"/>
      </right>
      <top style="thin">
        <color rgb="FF000000"/>
      </top>
      <bottom/>
      <diagonal/>
    </border>
    <border>
      <left style="medium">
        <color rgb="FFC00000"/>
      </left>
      <right style="medium">
        <color rgb="FFC00000"/>
      </right>
      <top/>
      <bottom style="thin">
        <color rgb="FF000000"/>
      </bottom>
      <diagonal/>
    </border>
    <border>
      <left style="medium">
        <color rgb="FFC00000"/>
      </left>
      <right style="medium">
        <color rgb="FFC00000"/>
      </right>
      <top style="thin">
        <color rgb="FF000000"/>
      </top>
      <bottom style="hair">
        <color rgb="FF000000"/>
      </bottom>
      <diagonal/>
    </border>
    <border>
      <left style="medium">
        <color rgb="FFC00000"/>
      </left>
      <right style="medium">
        <color rgb="FFC00000"/>
      </right>
      <top style="hair">
        <color rgb="FF000000"/>
      </top>
      <bottom style="hair">
        <color rgb="FF000000"/>
      </bottom>
      <diagonal/>
    </border>
    <border>
      <left style="medium">
        <color rgb="FFC00000"/>
      </left>
      <right style="medium">
        <color rgb="FFC00000"/>
      </right>
      <top style="hair">
        <color rgb="FF000000"/>
      </top>
      <bottom style="medium">
        <color rgb="FFC00000"/>
      </bottom>
      <diagonal/>
    </border>
    <border>
      <left style="medium">
        <color rgb="FFC00000"/>
      </left>
      <right style="medium">
        <color rgb="FFC00000"/>
      </right>
      <top/>
      <bottom style="hair">
        <color rgb="FF000000"/>
      </bottom>
      <diagonal/>
    </border>
    <border>
      <left style="medium">
        <color rgb="FFC00000"/>
      </left>
      <right style="medium">
        <color rgb="FFC00000"/>
      </right>
      <top style="hair">
        <color rgb="FF000000"/>
      </top>
      <bottom/>
      <diagonal/>
    </border>
    <border>
      <left style="thin">
        <color rgb="FF000000"/>
      </left>
      <right/>
      <top/>
      <bottom style="hair">
        <color theme="1"/>
      </bottom>
      <diagonal/>
    </border>
    <border>
      <left style="thin">
        <color rgb="FF000000"/>
      </left>
      <right/>
      <top style="thin">
        <color theme="1"/>
      </top>
      <bottom style="hair">
        <color theme="1"/>
      </bottom>
      <diagonal/>
    </border>
    <border>
      <left style="medium">
        <color rgb="FF000000"/>
      </left>
      <right style="thin">
        <color rgb="FF000000"/>
      </right>
      <top style="medium">
        <color rgb="FF000000"/>
      </top>
      <bottom style="hair">
        <color theme="1"/>
      </bottom>
      <diagonal/>
    </border>
    <border>
      <left style="medium">
        <color rgb="FF000000"/>
      </left>
      <right style="thin">
        <color rgb="FF000000"/>
      </right>
      <top style="hair">
        <color theme="1"/>
      </top>
      <bottom style="thin">
        <color theme="1"/>
      </bottom>
      <diagonal/>
    </border>
    <border>
      <left style="medium">
        <color rgb="FF000000"/>
      </left>
      <right style="thin">
        <color rgb="FF000000"/>
      </right>
      <top/>
      <bottom style="hair">
        <color theme="1"/>
      </bottom>
      <diagonal/>
    </border>
    <border>
      <left style="medium">
        <color rgb="FF000000"/>
      </left>
      <right style="thin">
        <color rgb="FF000000"/>
      </right>
      <top style="thin">
        <color theme="1"/>
      </top>
      <bottom style="hair">
        <color theme="1"/>
      </bottom>
      <diagonal/>
    </border>
    <border>
      <left style="thin">
        <color theme="1"/>
      </left>
      <right/>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theme="1"/>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C00000"/>
      </top>
      <bottom style="hair">
        <color rgb="FF000000"/>
      </bottom>
      <diagonal/>
    </border>
    <border>
      <left style="medium">
        <color rgb="FF000000"/>
      </left>
      <right style="thin">
        <color rgb="FF000000"/>
      </right>
      <top style="hair">
        <color theme="1"/>
      </top>
      <bottom style="thin">
        <color rgb="FF000000"/>
      </bottom>
      <diagonal/>
    </border>
    <border>
      <left style="thin">
        <color rgb="FF000000"/>
      </left>
      <right style="medium">
        <color rgb="FF000000"/>
      </right>
      <top style="medium">
        <color rgb="FF000000"/>
      </top>
      <bottom style="hair">
        <color theme="1"/>
      </bottom>
      <diagonal/>
    </border>
    <border>
      <left style="thin">
        <color rgb="FF000000"/>
      </left>
      <right style="medium">
        <color rgb="FF000000"/>
      </right>
      <top/>
      <bottom style="hair">
        <color theme="1"/>
      </bottom>
      <diagonal/>
    </border>
    <border>
      <left/>
      <right style="medium">
        <color rgb="FF000000"/>
      </right>
      <top style="thin">
        <color theme="1"/>
      </top>
      <bottom style="medium">
        <color rgb="FF000000"/>
      </bottom>
      <diagonal/>
    </border>
  </borders>
  <cellStyleXfs count="3">
    <xf numFmtId="0" fontId="0" fillId="0" borderId="0"/>
    <xf numFmtId="0" fontId="8" fillId="0" borderId="0"/>
    <xf numFmtId="0" fontId="10" fillId="0" borderId="0" applyNumberFormat="0" applyFill="0" applyBorder="0" applyAlignment="0" applyProtection="0"/>
  </cellStyleXfs>
  <cellXfs count="304">
    <xf numFmtId="0" fontId="0" fillId="0" borderId="0" xfId="0"/>
    <xf numFmtId="0" fontId="3" fillId="0" borderId="1" xfId="0" applyFont="1" applyBorder="1"/>
    <xf numFmtId="0" fontId="4" fillId="0" borderId="0" xfId="0" applyFont="1"/>
    <xf numFmtId="0" fontId="6" fillId="0" borderId="0" xfId="0" applyFont="1"/>
    <xf numFmtId="0" fontId="7" fillId="0" borderId="0" xfId="0" applyFont="1"/>
    <xf numFmtId="0" fontId="7" fillId="0" borderId="26" xfId="0" applyFont="1" applyBorder="1"/>
    <xf numFmtId="0" fontId="7" fillId="0" borderId="28" xfId="0" applyFont="1" applyBorder="1"/>
    <xf numFmtId="0" fontId="7" fillId="0" borderId="30" xfId="0" applyFont="1" applyBorder="1"/>
    <xf numFmtId="0" fontId="7" fillId="0" borderId="33" xfId="0" applyFont="1" applyBorder="1"/>
    <xf numFmtId="0" fontId="7" fillId="0" borderId="41" xfId="0" applyFont="1" applyBorder="1"/>
    <xf numFmtId="0" fontId="3" fillId="0" borderId="0" xfId="0" applyFont="1"/>
    <xf numFmtId="188" fontId="7" fillId="0" borderId="29" xfId="0" applyNumberFormat="1" applyFont="1" applyBorder="1" applyAlignment="1">
      <alignment horizontal="center"/>
    </xf>
    <xf numFmtId="188" fontId="7" fillId="0" borderId="31" xfId="0" applyNumberFormat="1" applyFont="1" applyBorder="1" applyAlignment="1">
      <alignment horizontal="center"/>
    </xf>
    <xf numFmtId="188" fontId="7" fillId="0" borderId="34" xfId="0" applyNumberFormat="1" applyFont="1" applyBorder="1" applyAlignment="1">
      <alignment horizontal="center"/>
    </xf>
    <xf numFmtId="189" fontId="4" fillId="0" borderId="0" xfId="0" applyNumberFormat="1" applyFont="1"/>
    <xf numFmtId="188" fontId="3" fillId="10" borderId="6" xfId="0" applyNumberFormat="1" applyFont="1" applyFill="1" applyBorder="1" applyAlignment="1">
      <alignment horizontal="center"/>
    </xf>
    <xf numFmtId="188" fontId="3" fillId="10" borderId="40" xfId="0" applyNumberFormat="1" applyFont="1" applyFill="1" applyBorder="1" applyAlignment="1">
      <alignment horizontal="center"/>
    </xf>
    <xf numFmtId="0" fontId="3" fillId="11" borderId="46" xfId="0" applyFont="1" applyFill="1" applyBorder="1" applyAlignment="1">
      <alignment horizontal="center" vertical="center"/>
    </xf>
    <xf numFmtId="0" fontId="3" fillId="11" borderId="25" xfId="0" applyFont="1" applyFill="1" applyBorder="1" applyAlignment="1">
      <alignment horizontal="center" vertical="center"/>
    </xf>
    <xf numFmtId="0" fontId="3" fillId="10" borderId="25" xfId="0" applyFont="1" applyFill="1" applyBorder="1" applyAlignment="1">
      <alignment horizontal="center" vertical="center"/>
    </xf>
    <xf numFmtId="188" fontId="2" fillId="0" borderId="12" xfId="0" applyNumberFormat="1" applyFont="1" applyBorder="1" applyAlignment="1">
      <alignment horizontal="center"/>
    </xf>
    <xf numFmtId="188" fontId="2" fillId="0" borderId="13" xfId="0" applyNumberFormat="1" applyFont="1" applyBorder="1" applyAlignment="1">
      <alignment horizontal="center"/>
    </xf>
    <xf numFmtId="188" fontId="2" fillId="3" borderId="12" xfId="0" applyNumberFormat="1" applyFont="1" applyFill="1" applyBorder="1" applyAlignment="1">
      <alignment horizontal="center"/>
    </xf>
    <xf numFmtId="188" fontId="12" fillId="3" borderId="13" xfId="0" applyNumberFormat="1" applyFont="1" applyFill="1" applyBorder="1" applyAlignment="1">
      <alignment horizontal="center"/>
    </xf>
    <xf numFmtId="188" fontId="2" fillId="0" borderId="15" xfId="0" applyNumberFormat="1" applyFont="1" applyBorder="1" applyAlignment="1">
      <alignment horizontal="center"/>
    </xf>
    <xf numFmtId="188" fontId="2" fillId="0" borderId="16" xfId="0" applyNumberFormat="1" applyFont="1" applyBorder="1" applyAlignment="1">
      <alignment horizontal="center"/>
    </xf>
    <xf numFmtId="188" fontId="2" fillId="3" borderId="15" xfId="0" applyNumberFormat="1" applyFont="1" applyFill="1" applyBorder="1" applyAlignment="1">
      <alignment horizontal="center"/>
    </xf>
    <xf numFmtId="188" fontId="12" fillId="3" borderId="16" xfId="0" applyNumberFormat="1" applyFont="1" applyFill="1" applyBorder="1" applyAlignment="1">
      <alignment horizontal="center"/>
    </xf>
    <xf numFmtId="188" fontId="2" fillId="0" borderId="17" xfId="0" applyNumberFormat="1" applyFont="1" applyBorder="1" applyAlignment="1">
      <alignment horizontal="center"/>
    </xf>
    <xf numFmtId="188" fontId="2" fillId="0" borderId="18" xfId="0" applyNumberFormat="1" applyFont="1" applyBorder="1" applyAlignment="1">
      <alignment horizontal="center"/>
    </xf>
    <xf numFmtId="188" fontId="2" fillId="3" borderId="17" xfId="0" applyNumberFormat="1" applyFont="1" applyFill="1" applyBorder="1" applyAlignment="1">
      <alignment horizontal="center"/>
    </xf>
    <xf numFmtId="188" fontId="12" fillId="3" borderId="18" xfId="0" applyNumberFormat="1" applyFont="1" applyFill="1" applyBorder="1" applyAlignment="1">
      <alignment horizontal="center"/>
    </xf>
    <xf numFmtId="188" fontId="12" fillId="8" borderId="12" xfId="0" applyNumberFormat="1" applyFont="1" applyFill="1" applyBorder="1" applyAlignment="1">
      <alignment horizontal="center"/>
    </xf>
    <xf numFmtId="188" fontId="12" fillId="8" borderId="13" xfId="0" applyNumberFormat="1" applyFont="1" applyFill="1" applyBorder="1" applyAlignment="1">
      <alignment horizontal="center"/>
    </xf>
    <xf numFmtId="188" fontId="12" fillId="3" borderId="12" xfId="0" applyNumberFormat="1" applyFont="1" applyFill="1" applyBorder="1" applyAlignment="1">
      <alignment horizontal="center"/>
    </xf>
    <xf numFmtId="188" fontId="12" fillId="8" borderId="15" xfId="0" applyNumberFormat="1" applyFont="1" applyFill="1" applyBorder="1" applyAlignment="1">
      <alignment horizontal="center"/>
    </xf>
    <xf numFmtId="188" fontId="12" fillId="8" borderId="16" xfId="0" applyNumberFormat="1" applyFont="1" applyFill="1" applyBorder="1" applyAlignment="1">
      <alignment horizontal="center"/>
    </xf>
    <xf numFmtId="188" fontId="12" fillId="3" borderId="15" xfId="0" applyNumberFormat="1" applyFont="1" applyFill="1" applyBorder="1" applyAlignment="1">
      <alignment horizontal="center"/>
    </xf>
    <xf numFmtId="188" fontId="2" fillId="0" borderId="48" xfId="0" applyNumberFormat="1" applyFont="1" applyBorder="1" applyAlignment="1">
      <alignment horizontal="center"/>
    </xf>
    <xf numFmtId="188" fontId="2" fillId="0" borderId="47" xfId="0" applyNumberFormat="1" applyFont="1" applyBorder="1" applyAlignment="1">
      <alignment horizontal="center"/>
    </xf>
    <xf numFmtId="188" fontId="12" fillId="4" borderId="19" xfId="0" applyNumberFormat="1" applyFont="1" applyFill="1" applyBorder="1" applyAlignment="1">
      <alignment horizontal="center"/>
    </xf>
    <xf numFmtId="188" fontId="12" fillId="4" borderId="20" xfId="0" applyNumberFormat="1" applyFont="1" applyFill="1" applyBorder="1" applyAlignment="1">
      <alignment horizontal="center"/>
    </xf>
    <xf numFmtId="188" fontId="12" fillId="4" borderId="54" xfId="0" applyNumberFormat="1" applyFont="1" applyFill="1" applyBorder="1" applyAlignment="1">
      <alignment horizontal="center"/>
    </xf>
    <xf numFmtId="188" fontId="12" fillId="4" borderId="56" xfId="0" applyNumberFormat="1" applyFont="1" applyFill="1" applyBorder="1" applyAlignment="1">
      <alignment horizontal="center"/>
    </xf>
    <xf numFmtId="188" fontId="12" fillId="4" borderId="12" xfId="0" applyNumberFormat="1" applyFont="1" applyFill="1" applyBorder="1" applyAlignment="1">
      <alignment horizontal="center"/>
    </xf>
    <xf numFmtId="188" fontId="12" fillId="4" borderId="13" xfId="0" applyNumberFormat="1" applyFont="1" applyFill="1" applyBorder="1" applyAlignment="1">
      <alignment horizontal="center"/>
    </xf>
    <xf numFmtId="188" fontId="12" fillId="4" borderId="57" xfId="0" applyNumberFormat="1" applyFont="1" applyFill="1" applyBorder="1" applyAlignment="1">
      <alignment horizontal="center"/>
    </xf>
    <xf numFmtId="188" fontId="12" fillId="4" borderId="21" xfId="0" applyNumberFormat="1" applyFont="1" applyFill="1" applyBorder="1" applyAlignment="1">
      <alignment horizontal="center"/>
    </xf>
    <xf numFmtId="188" fontId="12" fillId="4" borderId="16" xfId="0" applyNumberFormat="1" applyFont="1" applyFill="1" applyBorder="1" applyAlignment="1">
      <alignment horizontal="center"/>
    </xf>
    <xf numFmtId="188" fontId="12" fillId="4" borderId="55" xfId="0" applyNumberFormat="1" applyFont="1" applyFill="1" applyBorder="1" applyAlignment="1">
      <alignment horizontal="center"/>
    </xf>
    <xf numFmtId="188" fontId="12" fillId="4" borderId="58" xfId="0" applyNumberFormat="1" applyFont="1" applyFill="1" applyBorder="1" applyAlignment="1">
      <alignment horizontal="center"/>
    </xf>
    <xf numFmtId="0" fontId="15" fillId="0" borderId="0" xfId="0" applyFont="1"/>
    <xf numFmtId="188" fontId="2" fillId="5" borderId="75" xfId="0" applyNumberFormat="1" applyFont="1" applyFill="1" applyBorder="1" applyAlignment="1">
      <alignment horizontal="center"/>
    </xf>
    <xf numFmtId="188" fontId="12" fillId="5" borderId="75" xfId="0" applyNumberFormat="1" applyFont="1" applyFill="1" applyBorder="1" applyAlignment="1">
      <alignment horizontal="center"/>
    </xf>
    <xf numFmtId="188" fontId="12" fillId="4" borderId="15" xfId="0" applyNumberFormat="1" applyFont="1" applyFill="1" applyBorder="1" applyAlignment="1">
      <alignment horizontal="center"/>
    </xf>
    <xf numFmtId="188" fontId="12" fillId="0" borderId="24" xfId="0" applyNumberFormat="1" applyFont="1" applyBorder="1" applyAlignment="1">
      <alignment horizontal="center"/>
    </xf>
    <xf numFmtId="188" fontId="12" fillId="6" borderId="17" xfId="0" applyNumberFormat="1" applyFont="1" applyFill="1" applyBorder="1" applyAlignment="1">
      <alignment horizontal="center"/>
    </xf>
    <xf numFmtId="188" fontId="12" fillId="6" borderId="18" xfId="0" applyNumberFormat="1" applyFont="1" applyFill="1" applyBorder="1" applyAlignment="1">
      <alignment horizontal="center"/>
    </xf>
    <xf numFmtId="188" fontId="12" fillId="6" borderId="12" xfId="0" applyNumberFormat="1" applyFont="1" applyFill="1" applyBorder="1" applyAlignment="1">
      <alignment horizontal="center"/>
    </xf>
    <xf numFmtId="188" fontId="12" fillId="6" borderId="13" xfId="0" applyNumberFormat="1" applyFont="1" applyFill="1" applyBorder="1" applyAlignment="1">
      <alignment horizontal="center"/>
    </xf>
    <xf numFmtId="188" fontId="12" fillId="6" borderId="15" xfId="0" applyNumberFormat="1" applyFont="1" applyFill="1" applyBorder="1" applyAlignment="1">
      <alignment horizontal="center"/>
    </xf>
    <xf numFmtId="188" fontId="12" fillId="6" borderId="16" xfId="0" applyNumberFormat="1" applyFont="1" applyFill="1" applyBorder="1" applyAlignment="1">
      <alignment horizontal="center"/>
    </xf>
    <xf numFmtId="0" fontId="12" fillId="0" borderId="1" xfId="0" applyFont="1" applyBorder="1"/>
    <xf numFmtId="0" fontId="13" fillId="0" borderId="0" xfId="0" applyFont="1"/>
    <xf numFmtId="0" fontId="2" fillId="0" borderId="0" xfId="0" applyFont="1"/>
    <xf numFmtId="0" fontId="12" fillId="0" borderId="0" xfId="0" applyFont="1"/>
    <xf numFmtId="188" fontId="12" fillId="3" borderId="17" xfId="0" applyNumberFormat="1" applyFont="1" applyFill="1" applyBorder="1" applyAlignment="1">
      <alignment horizontal="center"/>
    </xf>
    <xf numFmtId="0" fontId="16" fillId="0" borderId="0" xfId="0" applyFont="1"/>
    <xf numFmtId="0" fontId="2" fillId="0" borderId="0" xfId="0" applyFont="1" applyAlignment="1">
      <alignment horizontal="center"/>
    </xf>
    <xf numFmtId="187" fontId="2" fillId="0" borderId="0" xfId="0" applyNumberFormat="1" applyFont="1" applyAlignment="1">
      <alignment horizontal="center"/>
    </xf>
    <xf numFmtId="0" fontId="17" fillId="0" borderId="0" xfId="0" applyFont="1"/>
    <xf numFmtId="0" fontId="18" fillId="0" borderId="0" xfId="0" applyFont="1"/>
    <xf numFmtId="0" fontId="12" fillId="0" borderId="24" xfId="0" applyFont="1" applyBorder="1"/>
    <xf numFmtId="0" fontId="11" fillId="0" borderId="1" xfId="0" applyFont="1" applyBorder="1"/>
    <xf numFmtId="187" fontId="12" fillId="2" borderId="5" xfId="0" applyNumberFormat="1" applyFont="1" applyFill="1" applyBorder="1" applyAlignment="1">
      <alignment horizontal="center" vertical="center"/>
    </xf>
    <xf numFmtId="188" fontId="12" fillId="2" borderId="6" xfId="0" applyNumberFormat="1" applyFont="1" applyFill="1" applyBorder="1" applyAlignment="1">
      <alignment horizontal="center" vertical="center"/>
    </xf>
    <xf numFmtId="188" fontId="12" fillId="2" borderId="6" xfId="0" applyNumberFormat="1" applyFont="1" applyFill="1" applyBorder="1" applyAlignment="1">
      <alignment horizontal="center" vertical="center" wrapText="1"/>
    </xf>
    <xf numFmtId="188" fontId="12" fillId="2" borderId="7" xfId="0" applyNumberFormat="1" applyFont="1" applyFill="1" applyBorder="1" applyAlignment="1">
      <alignment horizontal="center" vertical="center" wrapText="1"/>
    </xf>
    <xf numFmtId="187" fontId="14" fillId="2" borderId="5" xfId="0" applyNumberFormat="1" applyFont="1" applyFill="1" applyBorder="1" applyAlignment="1">
      <alignment horizontal="center" vertical="center"/>
    </xf>
    <xf numFmtId="188" fontId="2" fillId="0" borderId="23" xfId="0" applyNumberFormat="1" applyFont="1" applyBorder="1" applyAlignment="1">
      <alignment horizontal="center"/>
    </xf>
    <xf numFmtId="188" fontId="13" fillId="0" borderId="23" xfId="0" applyNumberFormat="1" applyFont="1" applyBorder="1" applyAlignment="1">
      <alignment horizontal="center"/>
    </xf>
    <xf numFmtId="188" fontId="2" fillId="0" borderId="11" xfId="0" applyNumberFormat="1" applyFont="1" applyBorder="1" applyAlignment="1">
      <alignment horizontal="center"/>
    </xf>
    <xf numFmtId="188" fontId="13" fillId="0" borderId="11" xfId="0" applyNumberFormat="1" applyFont="1" applyBorder="1" applyAlignment="1">
      <alignment horizontal="center"/>
    </xf>
    <xf numFmtId="188" fontId="2" fillId="0" borderId="14" xfId="0" applyNumberFormat="1" applyFont="1" applyBorder="1" applyAlignment="1">
      <alignment horizontal="center"/>
    </xf>
    <xf numFmtId="188" fontId="13" fillId="0" borderId="14" xfId="0" applyNumberFormat="1" applyFont="1" applyBorder="1" applyAlignment="1">
      <alignment horizontal="center"/>
    </xf>
    <xf numFmtId="188" fontId="12" fillId="0" borderId="8" xfId="0" applyNumberFormat="1" applyFont="1" applyBorder="1" applyAlignment="1">
      <alignment horizontal="center"/>
    </xf>
    <xf numFmtId="188" fontId="2" fillId="0" borderId="9" xfId="0" applyNumberFormat="1" applyFont="1" applyBorder="1" applyAlignment="1">
      <alignment horizontal="center"/>
    </xf>
    <xf numFmtId="188" fontId="2" fillId="0" borderId="10" xfId="0" applyNumberFormat="1" applyFont="1" applyBorder="1" applyAlignment="1">
      <alignment horizontal="center"/>
    </xf>
    <xf numFmtId="188" fontId="14" fillId="0" borderId="8" xfId="0" applyNumberFormat="1" applyFont="1" applyBorder="1" applyAlignment="1">
      <alignment horizontal="center"/>
    </xf>
    <xf numFmtId="188" fontId="2" fillId="3" borderId="9" xfId="0" applyNumberFormat="1" applyFont="1" applyFill="1" applyBorder="1" applyAlignment="1">
      <alignment horizontal="center"/>
    </xf>
    <xf numFmtId="188" fontId="12" fillId="3" borderId="10" xfId="0" applyNumberFormat="1" applyFont="1" applyFill="1" applyBorder="1" applyAlignment="1">
      <alignment horizontal="center"/>
    </xf>
    <xf numFmtId="188" fontId="2" fillId="0" borderId="22" xfId="0" applyNumberFormat="1" applyFont="1" applyBorder="1" applyAlignment="1">
      <alignment horizontal="center"/>
    </xf>
    <xf numFmtId="188" fontId="2" fillId="3" borderId="14" xfId="0" applyNumberFormat="1" applyFont="1" applyFill="1" applyBorder="1" applyAlignment="1">
      <alignment horizontal="center"/>
    </xf>
    <xf numFmtId="188" fontId="12" fillId="8" borderId="11" xfId="0" applyNumberFormat="1" applyFont="1" applyFill="1" applyBorder="1" applyAlignment="1">
      <alignment horizontal="center"/>
    </xf>
    <xf numFmtId="188" fontId="12" fillId="8" borderId="14" xfId="0" applyNumberFormat="1" applyFont="1" applyFill="1" applyBorder="1" applyAlignment="1">
      <alignment horizontal="center"/>
    </xf>
    <xf numFmtId="188" fontId="14" fillId="8" borderId="11" xfId="0" applyNumberFormat="1" applyFont="1" applyFill="1" applyBorder="1" applyAlignment="1">
      <alignment horizontal="center"/>
    </xf>
    <xf numFmtId="188" fontId="14" fillId="8" borderId="14" xfId="0" applyNumberFormat="1" applyFont="1" applyFill="1" applyBorder="1" applyAlignment="1">
      <alignment horizontal="center"/>
    </xf>
    <xf numFmtId="188" fontId="13" fillId="0" borderId="53" xfId="0" applyNumberFormat="1" applyFont="1" applyBorder="1" applyAlignment="1">
      <alignment horizontal="center"/>
    </xf>
    <xf numFmtId="188" fontId="12" fillId="8" borderId="17" xfId="0" applyNumberFormat="1" applyFont="1" applyFill="1" applyBorder="1" applyAlignment="1">
      <alignment horizontal="center"/>
    </xf>
    <xf numFmtId="188" fontId="12" fillId="8" borderId="18" xfId="0" applyNumberFormat="1" applyFont="1" applyFill="1" applyBorder="1" applyAlignment="1">
      <alignment horizontal="center"/>
    </xf>
    <xf numFmtId="188" fontId="2" fillId="0" borderId="0" xfId="0" applyNumberFormat="1" applyFont="1" applyAlignment="1">
      <alignment horizontal="center"/>
    </xf>
    <xf numFmtId="187" fontId="13" fillId="0" borderId="0" xfId="0" applyNumberFormat="1" applyFont="1" applyAlignment="1">
      <alignment horizontal="center"/>
    </xf>
    <xf numFmtId="188" fontId="12" fillId="0" borderId="0" xfId="0" applyNumberFormat="1" applyFont="1" applyAlignment="1">
      <alignment horizontal="center"/>
    </xf>
    <xf numFmtId="0" fontId="3" fillId="10" borderId="6" xfId="0" applyFont="1" applyFill="1" applyBorder="1" applyAlignment="1">
      <alignment horizontal="centerContinuous"/>
    </xf>
    <xf numFmtId="0" fontId="3" fillId="10" borderId="43" xfId="0" applyFont="1" applyFill="1" applyBorder="1" applyAlignment="1">
      <alignment horizontal="centerContinuous"/>
    </xf>
    <xf numFmtId="0" fontId="3" fillId="10" borderId="35" xfId="0" applyFont="1" applyFill="1" applyBorder="1" applyAlignment="1">
      <alignment horizontal="centerContinuous"/>
    </xf>
    <xf numFmtId="0" fontId="3" fillId="10" borderId="36" xfId="0" applyFont="1" applyFill="1" applyBorder="1" applyAlignment="1">
      <alignment horizontal="centerContinuous"/>
    </xf>
    <xf numFmtId="188" fontId="3" fillId="10" borderId="37" xfId="0" applyNumberFormat="1" applyFont="1" applyFill="1" applyBorder="1" applyAlignment="1">
      <alignment horizontal="center"/>
    </xf>
    <xf numFmtId="0" fontId="10" fillId="0" borderId="1" xfId="2" applyBorder="1" applyAlignment="1">
      <alignment horizontal="center"/>
    </xf>
    <xf numFmtId="0" fontId="11" fillId="0" borderId="1" xfId="0" applyFont="1" applyBorder="1" applyAlignment="1">
      <alignment horizontal="center"/>
    </xf>
    <xf numFmtId="0" fontId="19" fillId="0" borderId="0" xfId="2" applyFont="1" applyAlignment="1">
      <alignment horizontal="center" vertical="center" wrapText="1"/>
    </xf>
    <xf numFmtId="0" fontId="7" fillId="0" borderId="0" xfId="0" applyFont="1" applyAlignment="1">
      <alignment horizontal="center"/>
    </xf>
    <xf numFmtId="0" fontId="3" fillId="10" borderId="77" xfId="0" applyFont="1" applyFill="1" applyBorder="1" applyAlignment="1">
      <alignment horizontal="centerContinuous"/>
    </xf>
    <xf numFmtId="0" fontId="15" fillId="0" borderId="1" xfId="0" applyFont="1" applyBorder="1" applyAlignment="1">
      <alignment horizontal="center" vertical="center"/>
    </xf>
    <xf numFmtId="0" fontId="10" fillId="0" borderId="1" xfId="2" applyBorder="1" applyAlignment="1">
      <alignment horizontal="center" vertical="center"/>
    </xf>
    <xf numFmtId="0" fontId="13" fillId="0" borderId="0" xfId="0" applyFont="1" applyAlignment="1">
      <alignment horizontal="center"/>
    </xf>
    <xf numFmtId="0" fontId="20" fillId="0" borderId="41" xfId="0" applyFont="1" applyBorder="1"/>
    <xf numFmtId="0" fontId="7" fillId="0" borderId="81" xfId="0" applyFont="1" applyBorder="1"/>
    <xf numFmtId="0" fontId="7" fillId="0" borderId="82" xfId="0" applyFont="1" applyBorder="1"/>
    <xf numFmtId="0" fontId="7" fillId="0" borderId="84" xfId="0" applyFont="1" applyBorder="1"/>
    <xf numFmtId="0" fontId="7" fillId="0" borderId="85" xfId="0" applyFont="1" applyBorder="1"/>
    <xf numFmtId="188" fontId="20" fillId="0" borderId="41" xfId="0" applyNumberFormat="1" applyFont="1" applyBorder="1" applyAlignment="1">
      <alignment horizontal="center"/>
    </xf>
    <xf numFmtId="0" fontId="15" fillId="0" borderId="1" xfId="0" applyFont="1" applyBorder="1" applyAlignment="1">
      <alignment horizontal="centerContinuous" vertical="center"/>
    </xf>
    <xf numFmtId="0" fontId="10" fillId="0" borderId="1" xfId="2" applyBorder="1" applyAlignment="1">
      <alignment horizontal="centerContinuous" vertical="center"/>
    </xf>
    <xf numFmtId="0" fontId="11" fillId="0" borderId="1" xfId="0" applyFont="1" applyBorder="1" applyAlignment="1">
      <alignment horizontal="centerContinuous"/>
    </xf>
    <xf numFmtId="0" fontId="22" fillId="0" borderId="42" xfId="0" applyFont="1" applyBorder="1" applyAlignment="1">
      <alignment horizontal="center"/>
    </xf>
    <xf numFmtId="0" fontId="22" fillId="0" borderId="83" xfId="0" applyFont="1" applyBorder="1" applyAlignment="1">
      <alignment horizontal="center"/>
    </xf>
    <xf numFmtId="0" fontId="20" fillId="0" borderId="41" xfId="0" applyFont="1" applyBorder="1" applyAlignment="1">
      <alignment horizontal="left"/>
    </xf>
    <xf numFmtId="188" fontId="12" fillId="4" borderId="86" xfId="0" applyNumberFormat="1" applyFont="1" applyFill="1" applyBorder="1" applyAlignment="1">
      <alignment horizontal="center"/>
    </xf>
    <xf numFmtId="188" fontId="12" fillId="4" borderId="87" xfId="0" applyNumberFormat="1" applyFont="1" applyFill="1" applyBorder="1" applyAlignment="1">
      <alignment horizontal="center"/>
    </xf>
    <xf numFmtId="188" fontId="12" fillId="4" borderId="11" xfId="0" applyNumberFormat="1" applyFont="1" applyFill="1" applyBorder="1" applyAlignment="1">
      <alignment horizontal="center"/>
    </xf>
    <xf numFmtId="188" fontId="12" fillId="4" borderId="14" xfId="0" applyNumberFormat="1" applyFont="1" applyFill="1" applyBorder="1" applyAlignment="1">
      <alignment horizontal="center"/>
    </xf>
    <xf numFmtId="188" fontId="12" fillId="6" borderId="86" xfId="0" applyNumberFormat="1" applyFont="1" applyFill="1" applyBorder="1" applyAlignment="1">
      <alignment horizontal="center"/>
    </xf>
    <xf numFmtId="188" fontId="12" fillId="6" borderId="23" xfId="0" applyNumberFormat="1" applyFont="1" applyFill="1" applyBorder="1" applyAlignment="1">
      <alignment horizontal="center"/>
    </xf>
    <xf numFmtId="188" fontId="12" fillId="6" borderId="11" xfId="0" applyNumberFormat="1" applyFont="1" applyFill="1" applyBorder="1" applyAlignment="1">
      <alignment horizontal="center"/>
    </xf>
    <xf numFmtId="188" fontId="12" fillId="6" borderId="14" xfId="0" applyNumberFormat="1" applyFont="1" applyFill="1" applyBorder="1" applyAlignment="1">
      <alignment horizontal="center"/>
    </xf>
    <xf numFmtId="188" fontId="3" fillId="3" borderId="12" xfId="0" applyNumberFormat="1" applyFont="1" applyFill="1" applyBorder="1" applyAlignment="1">
      <alignment horizontal="center"/>
    </xf>
    <xf numFmtId="188" fontId="3" fillId="3" borderId="14" xfId="0" applyNumberFormat="1" applyFont="1" applyFill="1" applyBorder="1" applyAlignment="1">
      <alignment horizontal="center"/>
    </xf>
    <xf numFmtId="188" fontId="12" fillId="9" borderId="11" xfId="0" applyNumberFormat="1" applyFont="1" applyFill="1" applyBorder="1" applyAlignment="1">
      <alignment horizontal="center"/>
    </xf>
    <xf numFmtId="188" fontId="12" fillId="9" borderId="14" xfId="0" applyNumberFormat="1" applyFont="1" applyFill="1" applyBorder="1" applyAlignment="1">
      <alignment horizontal="center"/>
    </xf>
    <xf numFmtId="188" fontId="13" fillId="0" borderId="12" xfId="0" applyNumberFormat="1" applyFont="1" applyBorder="1" applyAlignment="1">
      <alignment horizontal="center"/>
    </xf>
    <xf numFmtId="188" fontId="15" fillId="0" borderId="0" xfId="0" applyNumberFormat="1" applyFont="1"/>
    <xf numFmtId="188" fontId="13" fillId="5" borderId="75" xfId="0" applyNumberFormat="1" applyFont="1" applyFill="1" applyBorder="1" applyAlignment="1">
      <alignment horizontal="center"/>
    </xf>
    <xf numFmtId="188" fontId="14" fillId="0" borderId="24" xfId="0" applyNumberFormat="1" applyFont="1" applyBorder="1" applyAlignment="1">
      <alignment horizontal="center"/>
    </xf>
    <xf numFmtId="0" fontId="12" fillId="0" borderId="90" xfId="0" applyFont="1" applyBorder="1" applyAlignment="1">
      <alignment horizontal="left"/>
    </xf>
    <xf numFmtId="0" fontId="2" fillId="0" borderId="91" xfId="0" applyFont="1" applyBorder="1" applyAlignment="1">
      <alignment horizontal="left"/>
    </xf>
    <xf numFmtId="0" fontId="2" fillId="0" borderId="92" xfId="0" applyFont="1" applyBorder="1" applyAlignment="1">
      <alignment horizontal="left"/>
    </xf>
    <xf numFmtId="0" fontId="12" fillId="0" borderId="88" xfId="0" applyFont="1" applyBorder="1"/>
    <xf numFmtId="0" fontId="12" fillId="0" borderId="93" xfId="0" applyFont="1" applyBorder="1" applyAlignment="1">
      <alignment horizontal="left"/>
    </xf>
    <xf numFmtId="0" fontId="12" fillId="0" borderId="93" xfId="0" applyFont="1" applyBorder="1"/>
    <xf numFmtId="0" fontId="2" fillId="0" borderId="93" xfId="0" applyFont="1" applyBorder="1"/>
    <xf numFmtId="0" fontId="12" fillId="8" borderId="91" xfId="0" applyFont="1" applyFill="1" applyBorder="1" applyAlignment="1">
      <alignment horizontal="left"/>
    </xf>
    <xf numFmtId="0" fontId="12" fillId="8" borderId="92" xfId="0" applyFont="1" applyFill="1" applyBorder="1" applyAlignment="1">
      <alignment horizontal="left"/>
    </xf>
    <xf numFmtId="0" fontId="2" fillId="0" borderId="93" xfId="0" applyFont="1" applyBorder="1" applyAlignment="1">
      <alignment horizontal="left"/>
    </xf>
    <xf numFmtId="0" fontId="2" fillId="0" borderId="94" xfId="0" applyFont="1" applyBorder="1" applyAlignment="1">
      <alignment horizontal="left"/>
    </xf>
    <xf numFmtId="0" fontId="12" fillId="4" borderId="91" xfId="0" applyFont="1" applyFill="1" applyBorder="1" applyAlignment="1">
      <alignment horizontal="left"/>
    </xf>
    <xf numFmtId="0" fontId="12" fillId="4" borderId="92" xfId="0" applyFont="1" applyFill="1" applyBorder="1" applyAlignment="1">
      <alignment horizontal="left"/>
    </xf>
    <xf numFmtId="0" fontId="12" fillId="5" borderId="0" xfId="0" applyFont="1" applyFill="1"/>
    <xf numFmtId="0" fontId="12" fillId="0" borderId="90" xfId="0" applyFont="1" applyBorder="1"/>
    <xf numFmtId="0" fontId="12" fillId="6" borderId="93" xfId="0" applyFont="1" applyFill="1" applyBorder="1" applyAlignment="1">
      <alignment horizontal="left"/>
    </xf>
    <xf numFmtId="0" fontId="12" fillId="6" borderId="91" xfId="0" applyFont="1" applyFill="1" applyBorder="1" applyAlignment="1">
      <alignment horizontal="left"/>
    </xf>
    <xf numFmtId="0" fontId="12" fillId="6" borderId="92" xfId="0" applyFont="1" applyFill="1" applyBorder="1" applyAlignment="1">
      <alignment horizontal="left"/>
    </xf>
    <xf numFmtId="0" fontId="12" fillId="5" borderId="0" xfId="0" applyFont="1" applyFill="1" applyAlignment="1">
      <alignment horizontal="left"/>
    </xf>
    <xf numFmtId="0" fontId="2" fillId="0" borderId="91" xfId="0" applyFont="1" applyBorder="1"/>
    <xf numFmtId="0" fontId="2" fillId="0" borderId="92" xfId="0" applyFont="1" applyBorder="1"/>
    <xf numFmtId="0" fontId="12" fillId="4" borderId="91" xfId="0" applyFont="1" applyFill="1" applyBorder="1" applyAlignment="1">
      <alignment horizontal="center"/>
    </xf>
    <xf numFmtId="0" fontId="24" fillId="4" borderId="91" xfId="0" applyFont="1" applyFill="1" applyBorder="1" applyAlignment="1">
      <alignment horizontal="center"/>
    </xf>
    <xf numFmtId="0" fontId="24" fillId="4" borderId="92" xfId="0" applyFont="1" applyFill="1" applyBorder="1" applyAlignment="1">
      <alignment horizontal="center"/>
    </xf>
    <xf numFmtId="0" fontId="12" fillId="6" borderId="93" xfId="0" applyFont="1" applyFill="1" applyBorder="1" applyAlignment="1">
      <alignment horizontal="center"/>
    </xf>
    <xf numFmtId="0" fontId="25" fillId="6" borderId="93" xfId="0" applyFont="1" applyFill="1" applyBorder="1" applyAlignment="1">
      <alignment horizontal="center"/>
    </xf>
    <xf numFmtId="0" fontId="25" fillId="6" borderId="92" xfId="0" applyFont="1" applyFill="1" applyBorder="1" applyAlignment="1">
      <alignment horizontal="center"/>
    </xf>
    <xf numFmtId="0" fontId="12" fillId="0" borderId="88" xfId="0" applyFont="1" applyBorder="1" applyAlignment="1">
      <alignment horizontal="left"/>
    </xf>
    <xf numFmtId="3" fontId="2" fillId="0" borderId="91" xfId="0" applyNumberFormat="1" applyFont="1" applyBorder="1" applyAlignment="1">
      <alignment horizontal="left"/>
    </xf>
    <xf numFmtId="0" fontId="14" fillId="8" borderId="91" xfId="0" applyFont="1" applyFill="1" applyBorder="1" applyAlignment="1">
      <alignment horizontal="center"/>
    </xf>
    <xf numFmtId="0" fontId="23" fillId="8" borderId="91" xfId="0" applyFont="1" applyFill="1" applyBorder="1" applyAlignment="1">
      <alignment horizontal="center"/>
    </xf>
    <xf numFmtId="0" fontId="23" fillId="8" borderId="92" xfId="0" applyFont="1" applyFill="1" applyBorder="1" applyAlignment="1">
      <alignment horizontal="center"/>
    </xf>
    <xf numFmtId="3" fontId="2" fillId="0" borderId="91" xfId="0" applyNumberFormat="1" applyFont="1" applyBorder="1"/>
    <xf numFmtId="0" fontId="12" fillId="8" borderId="91" xfId="0" applyFont="1" applyFill="1" applyBorder="1" applyAlignment="1">
      <alignment horizontal="center"/>
    </xf>
    <xf numFmtId="187" fontId="12" fillId="2" borderId="6" xfId="0" applyNumberFormat="1" applyFont="1" applyFill="1" applyBorder="1" applyAlignment="1">
      <alignment horizontal="center" vertical="center" wrapText="1"/>
    </xf>
    <xf numFmtId="188" fontId="7" fillId="0" borderId="97" xfId="0" applyNumberFormat="1" applyFont="1" applyBorder="1" applyAlignment="1">
      <alignment horizontal="center"/>
    </xf>
    <xf numFmtId="188" fontId="7" fillId="0" borderId="98" xfId="0" applyNumberFormat="1" applyFont="1" applyBorder="1" applyAlignment="1">
      <alignment horizontal="center"/>
    </xf>
    <xf numFmtId="188" fontId="7" fillId="0" borderId="99" xfId="0" applyNumberFormat="1" applyFont="1" applyBorder="1" applyAlignment="1">
      <alignment horizontal="center"/>
    </xf>
    <xf numFmtId="188" fontId="7" fillId="0" borderId="100" xfId="0" applyNumberFormat="1" applyFont="1" applyBorder="1" applyAlignment="1">
      <alignment horizontal="center"/>
    </xf>
    <xf numFmtId="188" fontId="26" fillId="8" borderId="41" xfId="0" applyNumberFormat="1" applyFont="1" applyFill="1" applyBorder="1" applyAlignment="1">
      <alignment horizontal="center"/>
    </xf>
    <xf numFmtId="188" fontId="3" fillId="8" borderId="29" xfId="0" applyNumberFormat="1" applyFont="1" applyFill="1" applyBorder="1" applyAlignment="1">
      <alignment horizontal="center"/>
    </xf>
    <xf numFmtId="188" fontId="3" fillId="8" borderId="95" xfId="0" applyNumberFormat="1" applyFont="1" applyFill="1" applyBorder="1" applyAlignment="1">
      <alignment horizontal="center"/>
    </xf>
    <xf numFmtId="188" fontId="3" fillId="8" borderId="31" xfId="0" applyNumberFormat="1" applyFont="1" applyFill="1" applyBorder="1" applyAlignment="1">
      <alignment horizontal="center"/>
    </xf>
    <xf numFmtId="188" fontId="3" fillId="8" borderId="74" xfId="0" applyNumberFormat="1" applyFont="1" applyFill="1" applyBorder="1" applyAlignment="1">
      <alignment horizontal="center"/>
    </xf>
    <xf numFmtId="188" fontId="3" fillId="8" borderId="34" xfId="0" applyNumberFormat="1" applyFont="1" applyFill="1" applyBorder="1" applyAlignment="1">
      <alignment horizontal="center"/>
    </xf>
    <xf numFmtId="188" fontId="3" fillId="8" borderId="96" xfId="0" applyNumberFormat="1" applyFont="1" applyFill="1" applyBorder="1" applyAlignment="1">
      <alignment horizontal="center"/>
    </xf>
    <xf numFmtId="0" fontId="7" fillId="0" borderId="101" xfId="0" applyFont="1" applyBorder="1"/>
    <xf numFmtId="0" fontId="7" fillId="0" borderId="102" xfId="0" applyFont="1" applyBorder="1"/>
    <xf numFmtId="0" fontId="21" fillId="0" borderId="27" xfId="0" applyFont="1" applyBorder="1" applyAlignment="1">
      <alignment horizontal="center"/>
    </xf>
    <xf numFmtId="0" fontId="3" fillId="11" borderId="38" xfId="0" quotePrefix="1" applyFont="1" applyFill="1" applyBorder="1" applyAlignment="1">
      <alignment horizontal="center" vertical="center"/>
    </xf>
    <xf numFmtId="0" fontId="3" fillId="11" borderId="39" xfId="0" quotePrefix="1" applyFont="1" applyFill="1" applyBorder="1" applyAlignment="1">
      <alignment horizontal="center" vertical="center"/>
    </xf>
    <xf numFmtId="0" fontId="3" fillId="10" borderId="44" xfId="0" quotePrefix="1" applyFont="1" applyFill="1" applyBorder="1" applyAlignment="1">
      <alignment horizontal="center" vertical="center"/>
    </xf>
    <xf numFmtId="0" fontId="3" fillId="10" borderId="45" xfId="0" quotePrefix="1" applyFont="1" applyFill="1" applyBorder="1" applyAlignment="1">
      <alignment horizontal="center" vertical="center"/>
    </xf>
    <xf numFmtId="0" fontId="9" fillId="0" borderId="60" xfId="0" applyFont="1" applyBorder="1" applyAlignment="1">
      <alignment horizontal="centerContinuous" vertical="center"/>
    </xf>
    <xf numFmtId="0" fontId="4" fillId="0" borderId="76" xfId="0" applyFont="1" applyBorder="1" applyAlignment="1">
      <alignment horizontal="centerContinuous" vertical="center"/>
    </xf>
    <xf numFmtId="0" fontId="4" fillId="0" borderId="59" xfId="0" applyFont="1" applyBorder="1" applyAlignment="1">
      <alignment horizontal="centerContinuous" vertical="center"/>
    </xf>
    <xf numFmtId="0" fontId="9" fillId="0" borderId="59" xfId="0" applyFont="1" applyBorder="1" applyAlignment="1">
      <alignment horizontal="centerContinuous" vertical="center"/>
    </xf>
    <xf numFmtId="0" fontId="9" fillId="0" borderId="71" xfId="0" applyFont="1" applyBorder="1" applyAlignment="1">
      <alignment horizontal="centerContinuous" vertical="center"/>
    </xf>
    <xf numFmtId="0" fontId="9" fillId="0" borderId="50" xfId="0" applyFont="1" applyBorder="1" applyAlignment="1">
      <alignment horizontal="centerContinuous" vertical="center"/>
    </xf>
    <xf numFmtId="0" fontId="4" fillId="0" borderId="51" xfId="0" applyFont="1" applyBorder="1" applyAlignment="1">
      <alignment horizontal="centerContinuous" vertical="center"/>
    </xf>
    <xf numFmtId="0" fontId="9" fillId="0" borderId="51" xfId="0" applyFont="1" applyBorder="1" applyAlignment="1">
      <alignment horizontal="centerContinuous" vertical="center"/>
    </xf>
    <xf numFmtId="0" fontId="9" fillId="0" borderId="52" xfId="0" applyFont="1" applyBorder="1" applyAlignment="1">
      <alignment horizontal="centerContinuous" vertical="center"/>
    </xf>
    <xf numFmtId="0" fontId="3" fillId="0" borderId="70" xfId="0" quotePrefix="1" applyFont="1" applyBorder="1" applyAlignment="1">
      <alignment horizontal="center" vertical="center"/>
    </xf>
    <xf numFmtId="0" fontId="3" fillId="0" borderId="62" xfId="0" quotePrefix="1" applyFont="1" applyBorder="1" applyAlignment="1">
      <alignment horizontal="center" vertical="center"/>
    </xf>
    <xf numFmtId="0" fontId="3" fillId="0" borderId="68" xfId="0" quotePrefix="1" applyFont="1" applyBorder="1" applyAlignment="1">
      <alignment horizontal="center" vertical="center"/>
    </xf>
    <xf numFmtId="0" fontId="3" fillId="0" borderId="63" xfId="0" applyFont="1" applyBorder="1" applyAlignment="1">
      <alignment horizontal="center" vertical="center"/>
    </xf>
    <xf numFmtId="0" fontId="3" fillId="0" borderId="66" xfId="0" applyFont="1" applyBorder="1" applyAlignment="1">
      <alignment horizontal="center" vertical="center"/>
    </xf>
    <xf numFmtId="0" fontId="3" fillId="0" borderId="67" xfId="0" quotePrefix="1" applyFont="1" applyBorder="1" applyAlignment="1">
      <alignment horizontal="center" vertical="center"/>
    </xf>
    <xf numFmtId="0" fontId="3" fillId="0" borderId="69" xfId="0" applyFont="1" applyBorder="1" applyAlignment="1">
      <alignment horizontal="center" vertical="center"/>
    </xf>
    <xf numFmtId="0" fontId="3" fillId="0" borderId="65" xfId="0" quotePrefix="1" applyFont="1" applyBorder="1" applyAlignment="1">
      <alignment horizontal="center" vertical="center"/>
    </xf>
    <xf numFmtId="0" fontId="3" fillId="0" borderId="72" xfId="0" quotePrefix="1" applyFont="1" applyBorder="1" applyAlignment="1">
      <alignment horizontal="center" vertical="center"/>
    </xf>
    <xf numFmtId="0" fontId="3" fillId="0" borderId="73" xfId="0" quotePrefix="1" applyFont="1" applyBorder="1" applyAlignment="1">
      <alignment horizontal="center" vertical="center"/>
    </xf>
    <xf numFmtId="0" fontId="3" fillId="0" borderId="64" xfId="0" applyFont="1" applyBorder="1" applyAlignment="1">
      <alignment horizontal="center" vertical="center"/>
    </xf>
    <xf numFmtId="0" fontId="3" fillId="0" borderId="61" xfId="0" applyFont="1" applyBorder="1" applyAlignment="1">
      <alignment horizontal="center" vertical="center"/>
    </xf>
    <xf numFmtId="188" fontId="20" fillId="0" borderId="81" xfId="0" applyNumberFormat="1" applyFont="1" applyBorder="1" applyAlignment="1">
      <alignment horizontal="center"/>
    </xf>
    <xf numFmtId="188" fontId="26" fillId="8" borderId="81" xfId="0" applyNumberFormat="1" applyFont="1" applyFill="1" applyBorder="1" applyAlignment="1">
      <alignment horizontal="center"/>
    </xf>
    <xf numFmtId="188" fontId="3" fillId="8" borderId="103" xfId="0" applyNumberFormat="1" applyFont="1" applyFill="1" applyBorder="1" applyAlignment="1">
      <alignment horizontal="center"/>
    </xf>
    <xf numFmtId="188" fontId="3" fillId="8" borderId="104" xfId="0" applyNumberFormat="1" applyFont="1" applyFill="1" applyBorder="1" applyAlignment="1">
      <alignment horizontal="center"/>
    </xf>
    <xf numFmtId="0" fontId="27" fillId="0" borderId="81" xfId="0" applyFont="1" applyBorder="1" applyAlignment="1">
      <alignment horizontal="center"/>
    </xf>
    <xf numFmtId="188" fontId="12" fillId="4" borderId="54" xfId="0" applyNumberFormat="1" applyFont="1" applyFill="1" applyBorder="1" applyAlignment="1">
      <alignment horizontal="center" shrinkToFit="1"/>
    </xf>
    <xf numFmtId="188" fontId="12" fillId="4" borderId="56" xfId="0" applyNumberFormat="1" applyFont="1" applyFill="1" applyBorder="1" applyAlignment="1">
      <alignment horizontal="center" shrinkToFit="1"/>
    </xf>
    <xf numFmtId="188" fontId="12" fillId="4" borderId="19" xfId="0" applyNumberFormat="1" applyFont="1" applyFill="1" applyBorder="1" applyAlignment="1">
      <alignment horizontal="center" shrinkToFit="1"/>
    </xf>
    <xf numFmtId="188" fontId="12" fillId="4" borderId="20" xfId="0" applyNumberFormat="1" applyFont="1" applyFill="1" applyBorder="1" applyAlignment="1">
      <alignment horizontal="center" shrinkToFit="1"/>
    </xf>
    <xf numFmtId="187" fontId="13" fillId="0" borderId="11" xfId="0" applyNumberFormat="1" applyFont="1" applyBorder="1" applyAlignment="1">
      <alignment horizontal="center"/>
    </xf>
    <xf numFmtId="187" fontId="13" fillId="0" borderId="14" xfId="0" applyNumberFormat="1" applyFont="1" applyBorder="1" applyAlignment="1">
      <alignment horizontal="center"/>
    </xf>
    <xf numFmtId="187" fontId="13" fillId="0" borderId="23" xfId="0" applyNumberFormat="1" applyFont="1" applyBorder="1" applyAlignment="1">
      <alignment horizontal="center"/>
    </xf>
    <xf numFmtId="188" fontId="12" fillId="4" borderId="11" xfId="0" applyNumberFormat="1" applyFont="1" applyFill="1" applyBorder="1" applyAlignment="1">
      <alignment horizontal="center" shrinkToFit="1"/>
    </xf>
    <xf numFmtId="188" fontId="12" fillId="4" borderId="12" xfId="0" applyNumberFormat="1" applyFont="1" applyFill="1" applyBorder="1" applyAlignment="1">
      <alignment horizontal="center" shrinkToFit="1"/>
    </xf>
    <xf numFmtId="188" fontId="12" fillId="4" borderId="57" xfId="0" applyNumberFormat="1" applyFont="1" applyFill="1" applyBorder="1" applyAlignment="1">
      <alignment horizontal="center" shrinkToFit="1"/>
    </xf>
    <xf numFmtId="188" fontId="12" fillId="4" borderId="13" xfId="0" applyNumberFormat="1" applyFont="1" applyFill="1" applyBorder="1" applyAlignment="1">
      <alignment horizontal="center" shrinkToFit="1"/>
    </xf>
    <xf numFmtId="188" fontId="12" fillId="4" borderId="55" xfId="0" applyNumberFormat="1" applyFont="1" applyFill="1" applyBorder="1" applyAlignment="1">
      <alignment horizontal="center" shrinkToFit="1"/>
    </xf>
    <xf numFmtId="188" fontId="12" fillId="4" borderId="58" xfId="0" applyNumberFormat="1" applyFont="1" applyFill="1" applyBorder="1" applyAlignment="1">
      <alignment horizontal="center" shrinkToFit="1"/>
    </xf>
    <xf numFmtId="188" fontId="12" fillId="4" borderId="21" xfId="0" applyNumberFormat="1" applyFont="1" applyFill="1" applyBorder="1" applyAlignment="1">
      <alignment horizontal="center" shrinkToFit="1"/>
    </xf>
    <xf numFmtId="188" fontId="12" fillId="4" borderId="16" xfId="0" applyNumberFormat="1" applyFont="1" applyFill="1" applyBorder="1" applyAlignment="1">
      <alignment horizontal="center" shrinkToFit="1"/>
    </xf>
    <xf numFmtId="188" fontId="12" fillId="6" borderId="86" xfId="0" applyNumberFormat="1" applyFont="1" applyFill="1" applyBorder="1" applyAlignment="1">
      <alignment horizontal="center" shrinkToFit="1"/>
    </xf>
    <xf numFmtId="188" fontId="12" fillId="6" borderId="17" xfId="0" applyNumberFormat="1" applyFont="1" applyFill="1" applyBorder="1" applyAlignment="1">
      <alignment horizontal="center" shrinkToFit="1"/>
    </xf>
    <xf numFmtId="188" fontId="12" fillId="6" borderId="18" xfId="0" applyNumberFormat="1" applyFont="1" applyFill="1" applyBorder="1" applyAlignment="1">
      <alignment horizontal="center" shrinkToFit="1"/>
    </xf>
    <xf numFmtId="188" fontId="12" fillId="6" borderId="23" xfId="0" applyNumberFormat="1" applyFont="1" applyFill="1" applyBorder="1" applyAlignment="1">
      <alignment horizontal="center" shrinkToFit="1"/>
    </xf>
    <xf numFmtId="188" fontId="12" fillId="6" borderId="13" xfId="0" applyNumberFormat="1" applyFont="1" applyFill="1" applyBorder="1" applyAlignment="1">
      <alignment horizontal="center" shrinkToFit="1"/>
    </xf>
    <xf numFmtId="188" fontId="12" fillId="6" borderId="11" xfId="0" applyNumberFormat="1" applyFont="1" applyFill="1" applyBorder="1" applyAlignment="1">
      <alignment horizontal="center" shrinkToFit="1"/>
    </xf>
    <xf numFmtId="188" fontId="12" fillId="6" borderId="12" xfId="0" applyNumberFormat="1" applyFont="1" applyFill="1" applyBorder="1" applyAlignment="1">
      <alignment horizontal="center" shrinkToFit="1"/>
    </xf>
    <xf numFmtId="188" fontId="12" fillId="6" borderId="14" xfId="0" applyNumberFormat="1" applyFont="1" applyFill="1" applyBorder="1" applyAlignment="1">
      <alignment horizontal="center" shrinkToFit="1"/>
    </xf>
    <xf numFmtId="188" fontId="12" fillId="6" borderId="15" xfId="0" applyNumberFormat="1" applyFont="1" applyFill="1" applyBorder="1" applyAlignment="1">
      <alignment horizontal="center" shrinkToFit="1"/>
    </xf>
    <xf numFmtId="188" fontId="12" fillId="6" borderId="16" xfId="0" applyNumberFormat="1" applyFont="1" applyFill="1" applyBorder="1" applyAlignment="1">
      <alignment horizontal="center" shrinkToFit="1"/>
    </xf>
    <xf numFmtId="188" fontId="12" fillId="4" borderId="86" xfId="0" applyNumberFormat="1" applyFont="1" applyFill="1" applyBorder="1" applyAlignment="1">
      <alignment horizontal="center" shrinkToFit="1"/>
    </xf>
    <xf numFmtId="188" fontId="12" fillId="4" borderId="15" xfId="0" applyNumberFormat="1" applyFont="1" applyFill="1" applyBorder="1" applyAlignment="1">
      <alignment horizontal="center" shrinkToFit="1"/>
    </xf>
    <xf numFmtId="188" fontId="12" fillId="4" borderId="14" xfId="0" applyNumberFormat="1" applyFont="1" applyFill="1" applyBorder="1" applyAlignment="1">
      <alignment horizontal="center" shrinkToFit="1"/>
    </xf>
    <xf numFmtId="188" fontId="12" fillId="8" borderId="12" xfId="0" applyNumberFormat="1" applyFont="1" applyFill="1" applyBorder="1" applyAlignment="1">
      <alignment horizontal="center" shrinkToFit="1"/>
    </xf>
    <xf numFmtId="188" fontId="12" fillId="8" borderId="13" xfId="0" applyNumberFormat="1" applyFont="1" applyFill="1" applyBorder="1" applyAlignment="1">
      <alignment horizontal="center" shrinkToFit="1"/>
    </xf>
    <xf numFmtId="188" fontId="12" fillId="8" borderId="11" xfId="0" applyNumberFormat="1" applyFont="1" applyFill="1" applyBorder="1" applyAlignment="1">
      <alignment horizontal="center" shrinkToFit="1"/>
    </xf>
    <xf numFmtId="188" fontId="12" fillId="8" borderId="17" xfId="0" applyNumberFormat="1" applyFont="1" applyFill="1" applyBorder="1" applyAlignment="1">
      <alignment horizontal="center" shrinkToFit="1"/>
    </xf>
    <xf numFmtId="188" fontId="12" fillId="8" borderId="18" xfId="0" applyNumberFormat="1" applyFont="1" applyFill="1" applyBorder="1" applyAlignment="1">
      <alignment horizontal="center" shrinkToFit="1"/>
    </xf>
    <xf numFmtId="188" fontId="3" fillId="3" borderId="12" xfId="0" applyNumberFormat="1" applyFont="1" applyFill="1" applyBorder="1" applyAlignment="1">
      <alignment horizontal="center" shrinkToFit="1"/>
    </xf>
    <xf numFmtId="188" fontId="12" fillId="3" borderId="12" xfId="0" applyNumberFormat="1" applyFont="1" applyFill="1" applyBorder="1" applyAlignment="1">
      <alignment horizontal="center" shrinkToFit="1"/>
    </xf>
    <xf numFmtId="188" fontId="12" fillId="3" borderId="13" xfId="0" applyNumberFormat="1" applyFont="1" applyFill="1" applyBorder="1" applyAlignment="1">
      <alignment horizontal="center" shrinkToFit="1"/>
    </xf>
    <xf numFmtId="188" fontId="12" fillId="8" borderId="15" xfId="0" applyNumberFormat="1" applyFont="1" applyFill="1" applyBorder="1" applyAlignment="1">
      <alignment horizontal="center" shrinkToFit="1"/>
    </xf>
    <xf numFmtId="188" fontId="12" fillId="8" borderId="16" xfId="0" applyNumberFormat="1" applyFont="1" applyFill="1" applyBorder="1" applyAlignment="1">
      <alignment horizontal="center" shrinkToFit="1"/>
    </xf>
    <xf numFmtId="188" fontId="12" fillId="8" borderId="14" xfId="0" applyNumberFormat="1" applyFont="1" applyFill="1" applyBorder="1" applyAlignment="1">
      <alignment horizontal="center" shrinkToFit="1"/>
    </xf>
    <xf numFmtId="188" fontId="3" fillId="3" borderId="14" xfId="0" applyNumberFormat="1" applyFont="1" applyFill="1" applyBorder="1" applyAlignment="1">
      <alignment horizontal="center" shrinkToFit="1"/>
    </xf>
    <xf numFmtId="188" fontId="12" fillId="3" borderId="15" xfId="0" applyNumberFormat="1" applyFont="1" applyFill="1" applyBorder="1" applyAlignment="1">
      <alignment horizontal="center" shrinkToFit="1"/>
    </xf>
    <xf numFmtId="188" fontId="12" fillId="3" borderId="16" xfId="0" applyNumberFormat="1" applyFont="1" applyFill="1" applyBorder="1" applyAlignment="1">
      <alignment horizontal="center" shrinkToFit="1"/>
    </xf>
    <xf numFmtId="188" fontId="14" fillId="8" borderId="11" xfId="0" applyNumberFormat="1" applyFont="1" applyFill="1" applyBorder="1" applyAlignment="1">
      <alignment horizontal="center" shrinkToFit="1"/>
    </xf>
    <xf numFmtId="188" fontId="2" fillId="3" borderId="12" xfId="0" applyNumberFormat="1" applyFont="1" applyFill="1" applyBorder="1" applyAlignment="1">
      <alignment horizontal="center" shrinkToFit="1"/>
    </xf>
    <xf numFmtId="188" fontId="2" fillId="3" borderId="14" xfId="0" applyNumberFormat="1" applyFont="1" applyFill="1" applyBorder="1" applyAlignment="1">
      <alignment horizontal="center" shrinkToFit="1"/>
    </xf>
    <xf numFmtId="188" fontId="14" fillId="8" borderId="14" xfId="0" applyNumberFormat="1" applyFont="1" applyFill="1" applyBorder="1" applyAlignment="1">
      <alignment horizontal="center" shrinkToFit="1"/>
    </xf>
    <xf numFmtId="188" fontId="12" fillId="9" borderId="11" xfId="0" applyNumberFormat="1" applyFont="1" applyFill="1" applyBorder="1" applyAlignment="1">
      <alignment horizontal="center" shrinkToFit="1"/>
    </xf>
    <xf numFmtId="188" fontId="12" fillId="9" borderId="14" xfId="0" applyNumberFormat="1" applyFont="1" applyFill="1" applyBorder="1" applyAlignment="1">
      <alignment horizontal="center" shrinkToFit="1"/>
    </xf>
    <xf numFmtId="187" fontId="13" fillId="0" borderId="12" xfId="0" applyNumberFormat="1" applyFont="1" applyBorder="1" applyAlignment="1">
      <alignment horizontal="center"/>
    </xf>
    <xf numFmtId="187" fontId="13" fillId="0" borderId="15" xfId="0" applyNumberFormat="1" applyFont="1" applyBorder="1" applyAlignment="1">
      <alignment horizontal="center"/>
    </xf>
    <xf numFmtId="187" fontId="14" fillId="0" borderId="105" xfId="0" applyNumberFormat="1" applyFont="1" applyBorder="1" applyAlignment="1">
      <alignment horizontal="center"/>
    </xf>
    <xf numFmtId="187" fontId="13" fillId="0" borderId="17" xfId="0" applyNumberFormat="1" applyFont="1" applyBorder="1" applyAlignment="1">
      <alignment horizontal="center"/>
    </xf>
    <xf numFmtId="188" fontId="13" fillId="0" borderId="17" xfId="0" applyNumberFormat="1" applyFont="1" applyBorder="1" applyAlignment="1">
      <alignment horizontal="center"/>
    </xf>
    <xf numFmtId="187" fontId="13" fillId="0" borderId="53" xfId="0" applyNumberFormat="1" applyFont="1" applyBorder="1" applyAlignment="1">
      <alignment horizontal="center"/>
    </xf>
    <xf numFmtId="187" fontId="13" fillId="0" borderId="106" xfId="0" applyNumberFormat="1" applyFont="1" applyBorder="1" applyAlignment="1">
      <alignment horizontal="center"/>
    </xf>
    <xf numFmtId="188" fontId="10" fillId="0" borderId="81" xfId="2" applyNumberFormat="1" applyBorder="1" applyAlignment="1">
      <alignment horizontal="center"/>
    </xf>
    <xf numFmtId="188" fontId="10" fillId="8" borderId="81" xfId="2" applyNumberFormat="1" applyFill="1" applyBorder="1" applyAlignment="1">
      <alignment horizontal="center"/>
    </xf>
    <xf numFmtId="188" fontId="7" fillId="0" borderId="107" xfId="0" applyNumberFormat="1" applyFont="1" applyBorder="1" applyAlignment="1">
      <alignment horizontal="center"/>
    </xf>
    <xf numFmtId="188" fontId="3" fillId="8" borderId="108" xfId="0" applyNumberFormat="1" applyFont="1" applyFill="1" applyBorder="1" applyAlignment="1">
      <alignment horizontal="center"/>
    </xf>
    <xf numFmtId="188" fontId="3" fillId="8" borderId="32" xfId="0" applyNumberFormat="1" applyFont="1" applyFill="1" applyBorder="1" applyAlignment="1">
      <alignment horizontal="center"/>
    </xf>
    <xf numFmtId="188" fontId="3" fillId="8" borderId="109" xfId="0" applyNumberFormat="1" applyFont="1" applyFill="1" applyBorder="1" applyAlignment="1">
      <alignment horizontal="center"/>
    </xf>
    <xf numFmtId="188" fontId="3" fillId="10" borderId="110" xfId="0" applyNumberFormat="1" applyFont="1" applyFill="1" applyBorder="1" applyAlignment="1">
      <alignment horizontal="center"/>
    </xf>
    <xf numFmtId="188" fontId="1" fillId="0" borderId="11" xfId="0" applyNumberFormat="1" applyFont="1" applyBorder="1" applyAlignment="1">
      <alignment horizontal="center"/>
    </xf>
    <xf numFmtId="0" fontId="3" fillId="0" borderId="49" xfId="0" applyFont="1" applyBorder="1" applyAlignment="1">
      <alignment horizontal="center" vertical="center"/>
    </xf>
    <xf numFmtId="0" fontId="5" fillId="0" borderId="61" xfId="0" applyFont="1" applyBorder="1" applyAlignment="1">
      <alignment vertical="center"/>
    </xf>
    <xf numFmtId="0" fontId="3" fillId="0" borderId="78" xfId="0" applyFont="1" applyBorder="1" applyAlignment="1">
      <alignment horizontal="center" vertical="center"/>
    </xf>
    <xf numFmtId="0" fontId="3" fillId="0" borderId="80" xfId="0" applyFont="1" applyBorder="1" applyAlignment="1">
      <alignment horizontal="center" vertical="center"/>
    </xf>
    <xf numFmtId="0" fontId="3" fillId="0" borderId="79" xfId="0" applyFont="1" applyBorder="1" applyAlignment="1">
      <alignment horizontal="center" vertical="center"/>
    </xf>
    <xf numFmtId="0" fontId="3" fillId="0" borderId="73" xfId="0" applyFont="1" applyBorder="1" applyAlignment="1">
      <alignment horizontal="center" vertical="center"/>
    </xf>
    <xf numFmtId="0" fontId="12" fillId="2" borderId="2" xfId="0" applyFont="1" applyFill="1" applyBorder="1" applyAlignment="1">
      <alignment horizontal="center" vertical="center"/>
    </xf>
    <xf numFmtId="0" fontId="13" fillId="0" borderId="3" xfId="0" applyFont="1" applyBorder="1" applyAlignment="1">
      <alignment vertical="center"/>
    </xf>
    <xf numFmtId="0" fontId="13" fillId="0" borderId="4" xfId="0" applyFont="1" applyBorder="1" applyAlignment="1">
      <alignment vertical="center"/>
    </xf>
    <xf numFmtId="0" fontId="12" fillId="7" borderId="88" xfId="0" quotePrefix="1" applyFont="1" applyFill="1" applyBorder="1" applyAlignment="1">
      <alignment horizontal="center" vertical="center"/>
    </xf>
    <xf numFmtId="0" fontId="12" fillId="7" borderId="89" xfId="0" quotePrefix="1" applyFont="1" applyFill="1" applyBorder="1" applyAlignment="1">
      <alignment horizontal="center" vertical="center"/>
    </xf>
    <xf numFmtId="0" fontId="12" fillId="7" borderId="88" xfId="0" quotePrefix="1" applyFont="1" applyFill="1" applyBorder="1" applyAlignment="1">
      <alignment horizontal="center" vertical="center" wrapText="1"/>
    </xf>
    <xf numFmtId="0" fontId="12" fillId="7" borderId="2" xfId="0" quotePrefix="1" applyFont="1" applyFill="1" applyBorder="1" applyAlignment="1">
      <alignment horizontal="center" vertical="center"/>
    </xf>
    <xf numFmtId="0" fontId="12" fillId="7" borderId="3" xfId="0" quotePrefix="1" applyFont="1" applyFill="1" applyBorder="1" applyAlignment="1">
      <alignment horizontal="center" vertical="center"/>
    </xf>
    <xf numFmtId="0" fontId="12" fillId="7" borderId="4" xfId="0" quotePrefix="1"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7" borderId="89" xfId="0" quotePrefix="1" applyFont="1" applyFill="1" applyBorder="1" applyAlignment="1">
      <alignment horizontal="center" vertical="center" wrapText="1"/>
    </xf>
  </cellXfs>
  <cellStyles count="3">
    <cellStyle name="Hyperlink" xfId="2" builtinId="8"/>
    <cellStyle name="Normal" xfId="0" builtinId="0"/>
    <cellStyle name="Normal 2" xfId="1" xr:uid="{692C85F9-A2C0-4FA2-96E8-ACA6A034DF84}"/>
  </cellStyles>
  <dxfs count="24">
    <dxf>
      <font>
        <color theme="0"/>
      </font>
    </dxf>
    <dxf>
      <numFmt numFmtId="190" formatCode="#,##0;;"/>
    </dxf>
    <dxf>
      <font>
        <u val="none"/>
        <color rgb="FF0464C2"/>
      </font>
    </dxf>
    <dxf>
      <font>
        <u val="none"/>
        <color rgb="FF0464C2"/>
      </font>
    </dxf>
    <dxf>
      <font>
        <color theme="0"/>
      </font>
    </dxf>
    <dxf>
      <numFmt numFmtId="190" formatCode="#,##0;;"/>
    </dxf>
    <dxf>
      <font>
        <color rgb="FF0464C2"/>
      </font>
    </dxf>
    <dxf>
      <font>
        <color rgb="FF0464C2"/>
      </font>
    </dxf>
    <dxf>
      <font>
        <color theme="0"/>
      </font>
    </dxf>
    <dxf>
      <numFmt numFmtId="190" formatCode="#,##0;;"/>
    </dxf>
    <dxf>
      <font>
        <color rgb="FF0464C2"/>
      </font>
    </dxf>
    <dxf>
      <font>
        <u val="none"/>
        <color rgb="FF0464C2"/>
      </font>
    </dxf>
    <dxf>
      <font>
        <color theme="0"/>
      </font>
    </dxf>
    <dxf>
      <fill>
        <patternFill>
          <bgColor theme="7" tint="0.79998168889431442"/>
        </patternFill>
      </fill>
    </dxf>
    <dxf>
      <font>
        <color theme="0"/>
      </font>
    </dxf>
    <dxf>
      <numFmt numFmtId="190" formatCode="#,##0;;"/>
    </dxf>
    <dxf>
      <numFmt numFmtId="187" formatCode="#,##0;;\-"/>
    </dxf>
    <dxf>
      <numFmt numFmtId="187" formatCode="#,##0;;\-"/>
    </dxf>
    <dxf>
      <numFmt numFmtId="187" formatCode="#,##0;;\-"/>
    </dxf>
    <dxf>
      <font>
        <color theme="0"/>
      </font>
    </dxf>
    <dxf>
      <fill>
        <patternFill>
          <bgColor theme="7" tint="0.79998168889431442"/>
        </patternFill>
      </fill>
    </dxf>
    <dxf>
      <font>
        <color theme="0"/>
      </font>
    </dxf>
    <dxf>
      <numFmt numFmtId="190" formatCode="#,##0;;"/>
    </dxf>
    <dxf>
      <numFmt numFmtId="187" formatCode="#,##0;;\-"/>
    </dxf>
  </dxfs>
  <tableStyles count="0" defaultTableStyle="TableStyleMedium2" defaultPivotStyle="PivotStyleLight16"/>
  <colors>
    <mruColors>
      <color rgb="FFBDD6EE"/>
      <color rgb="FFA8D08D"/>
      <color rgb="FF0464C2"/>
      <color rgb="FFECECEC"/>
      <color rgb="FFFBE4D5"/>
      <color rgb="FF0358AD"/>
      <color rgb="FF050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Default" id="{FE1A8F19-48A9-48F7-B989-391DF054300D}"/>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Z288"/>
  <sheetViews>
    <sheetView showGridLines="0" tabSelected="1" zoomScaleNormal="100" workbookViewId="0">
      <pane xSplit="2" ySplit="3" topLeftCell="C4" activePane="bottomRight" state="frozen"/>
      <selection activeCell="C4" sqref="C4"/>
      <selection pane="topRight" activeCell="C4" sqref="C4"/>
      <selection pane="bottomLeft" activeCell="C4" sqref="C4"/>
      <selection pane="bottomRight" activeCell="C4" sqref="C4"/>
    </sheetView>
  </sheetViews>
  <sheetFormatPr defaultColWidth="12.625" defaultRowHeight="15" customHeight="1" x14ac:dyDescent="0.35"/>
  <cols>
    <col min="1" max="1" width="30.25" style="64" customWidth="1"/>
    <col min="2" max="2" width="9" style="64" bestFit="1" customWidth="1"/>
    <col min="3" max="3" width="8.375" style="63" customWidth="1"/>
    <col min="4" max="7" width="8.375" style="64" customWidth="1"/>
    <col min="8" max="8" width="8.875" style="64" customWidth="1"/>
    <col min="9" max="9" width="8.375" style="64" customWidth="1"/>
    <col min="10" max="10" width="8.875" style="64" customWidth="1"/>
    <col min="11" max="11" width="8.375" style="63" customWidth="1"/>
    <col min="12" max="17" width="8.375" style="64" customWidth="1"/>
    <col min="18" max="18" width="9.125" style="64" customWidth="1"/>
    <col min="19" max="19" width="6" style="64" customWidth="1"/>
    <col min="20" max="26" width="9" style="64" customWidth="1"/>
    <col min="27" max="16384" width="12.625" style="64"/>
  </cols>
  <sheetData>
    <row r="1" spans="1:26" ht="18" customHeight="1" x14ac:dyDescent="0.35">
      <c r="A1" s="62" t="s">
        <v>113</v>
      </c>
      <c r="B1" s="62"/>
      <c r="D1" s="51"/>
      <c r="E1" s="71"/>
      <c r="F1" s="51"/>
      <c r="G1" s="115"/>
      <c r="H1" s="110" t="str">
        <f>IF($G$1="เปิด", "ป้อนคำค้น", "")</f>
        <v/>
      </c>
      <c r="I1" s="122" t="s">
        <v>108</v>
      </c>
      <c r="J1" s="122"/>
      <c r="K1" s="122"/>
      <c r="L1" s="123" t="str" cm="1">
        <f t="array" aca="1" ref="L1" ca="1">IF($G$1="เปิด", IF(I1="", "กรุณาพิมพ์คำค้นหาที่ H1", HYPERLINK("#A"&amp;MATCH("*"&amp;I1&amp;"*", A:A, 0), "🔎 คลิกเพื่อไปยัง: " &amp; _xlfn.XLOOKUP("*"&amp;I1&amp;"*", A4:A285, A4:A285, "ไม่พบข้อมูล", 2) &amp; " (" &amp; SUBSTITUTE(CELL("address", INDEX(A:A, MATCH("*"&amp;I1&amp;"*", A:A, 0))), "$", "") &amp; ")")), "")</f>
        <v/>
      </c>
      <c r="M1" s="123"/>
      <c r="N1" s="123"/>
      <c r="O1" s="123"/>
      <c r="P1" s="124"/>
      <c r="Q1" s="108" t="str" cm="1">
        <f t="array" aca="1" ref="Q1" ca="1">HYPERLINK(IF(รวมปกติ!$G$1="เปิด", "#" &amp; CELL("address", รวมปกติ!A1), "#Q1"), IF(รวมปกติ!$G$1="เปิด", "กลับ ↩", ""))</f>
        <v/>
      </c>
      <c r="R1" s="73"/>
      <c r="S1" s="65"/>
      <c r="T1" s="65"/>
      <c r="U1" s="65"/>
      <c r="V1" s="65"/>
      <c r="W1" s="65"/>
      <c r="X1" s="65"/>
      <c r="Y1" s="65"/>
      <c r="Z1" s="65"/>
    </row>
    <row r="2" spans="1:26" ht="21" customHeight="1" x14ac:dyDescent="0.35">
      <c r="A2" s="295" t="s">
        <v>0</v>
      </c>
      <c r="B2" s="297" t="s">
        <v>106</v>
      </c>
      <c r="C2" s="298" t="s">
        <v>112</v>
      </c>
      <c r="D2" s="299"/>
      <c r="E2" s="299"/>
      <c r="F2" s="300"/>
      <c r="G2" s="298" t="s">
        <v>102</v>
      </c>
      <c r="H2" s="299"/>
      <c r="I2" s="299"/>
      <c r="J2" s="300"/>
      <c r="K2" s="298" t="s">
        <v>103</v>
      </c>
      <c r="L2" s="299"/>
      <c r="M2" s="299"/>
      <c r="N2" s="300"/>
      <c r="O2" s="292" t="s">
        <v>114</v>
      </c>
      <c r="P2" s="293"/>
      <c r="Q2" s="293"/>
      <c r="R2" s="294"/>
    </row>
    <row r="3" spans="1:26" ht="63" x14ac:dyDescent="0.35">
      <c r="A3" s="296"/>
      <c r="B3" s="296"/>
      <c r="C3" s="78" t="s">
        <v>1</v>
      </c>
      <c r="D3" s="75" t="s">
        <v>2</v>
      </c>
      <c r="E3" s="76" t="s">
        <v>3</v>
      </c>
      <c r="F3" s="77" t="s">
        <v>4</v>
      </c>
      <c r="G3" s="74" t="s">
        <v>1</v>
      </c>
      <c r="H3" s="75" t="s">
        <v>2</v>
      </c>
      <c r="I3" s="76" t="s">
        <v>3</v>
      </c>
      <c r="J3" s="77" t="s">
        <v>107</v>
      </c>
      <c r="K3" s="78" t="s">
        <v>1</v>
      </c>
      <c r="L3" s="75" t="s">
        <v>2</v>
      </c>
      <c r="M3" s="76" t="s">
        <v>3</v>
      </c>
      <c r="N3" s="77" t="s">
        <v>4</v>
      </c>
      <c r="O3" s="178" t="s">
        <v>110</v>
      </c>
      <c r="P3" s="76" t="s">
        <v>111</v>
      </c>
      <c r="Q3" s="76" t="s">
        <v>5</v>
      </c>
      <c r="R3" s="77" t="s">
        <v>4</v>
      </c>
    </row>
    <row r="4" spans="1:26" ht="18.75" customHeight="1" x14ac:dyDescent="0.35">
      <c r="A4" s="148" t="s">
        <v>11</v>
      </c>
      <c r="B4" s="144"/>
      <c r="C4" s="80"/>
      <c r="D4" s="28"/>
      <c r="E4" s="28"/>
      <c r="F4" s="29"/>
      <c r="G4" s="79"/>
      <c r="H4" s="28"/>
      <c r="I4" s="28"/>
      <c r="J4" s="29"/>
      <c r="K4" s="80"/>
      <c r="L4" s="28"/>
      <c r="M4" s="28"/>
      <c r="N4" s="29"/>
      <c r="O4" s="66"/>
      <c r="P4" s="66"/>
      <c r="Q4" s="30"/>
      <c r="R4" s="31"/>
    </row>
    <row r="5" spans="1:26" ht="18.75" customHeight="1" x14ac:dyDescent="0.35">
      <c r="A5" s="145" t="s">
        <v>7</v>
      </c>
      <c r="B5" s="145" t="s">
        <v>8</v>
      </c>
      <c r="C5" s="82">
        <v>10228</v>
      </c>
      <c r="D5" s="20">
        <f>ROUND(C5/18,2)</f>
        <v>568.22</v>
      </c>
      <c r="E5" s="20"/>
      <c r="F5" s="21">
        <f>SUM(D5,E6:E7)</f>
        <v>573.17000000000007</v>
      </c>
      <c r="G5" s="81">
        <v>8082</v>
      </c>
      <c r="H5" s="20">
        <f>ROUND(G5/18,2)</f>
        <v>449</v>
      </c>
      <c r="I5" s="20"/>
      <c r="J5" s="21">
        <f>SUM(H5,I6:I7)</f>
        <v>453.95</v>
      </c>
      <c r="K5" s="82">
        <v>9</v>
      </c>
      <c r="L5" s="20">
        <f>ROUND(K5/18,2)</f>
        <v>0.5</v>
      </c>
      <c r="M5" s="20"/>
      <c r="N5" s="21">
        <f>SUM(L5,M6:M7)</f>
        <v>0.5</v>
      </c>
      <c r="O5" s="22">
        <f>SUMIF($C$3:$N$3,"SCH",C5:N5)</f>
        <v>18319</v>
      </c>
      <c r="P5" s="22">
        <f>ROUND(O5/36,2)</f>
        <v>508.86</v>
      </c>
      <c r="Q5" s="22"/>
      <c r="R5" s="23">
        <f>SUM(P5,Q6:Q7)</f>
        <v>513.81000000000006</v>
      </c>
    </row>
    <row r="6" spans="1:26" ht="18.75" customHeight="1" x14ac:dyDescent="0.35">
      <c r="A6" s="145"/>
      <c r="B6" s="145" t="s">
        <v>9</v>
      </c>
      <c r="C6" s="82">
        <v>33</v>
      </c>
      <c r="D6" s="20">
        <f>ROUND(C6/12,2)</f>
        <v>2.75</v>
      </c>
      <c r="E6" s="20">
        <f>D6*1.8</f>
        <v>4.95</v>
      </c>
      <c r="F6" s="21"/>
      <c r="G6" s="81">
        <v>33</v>
      </c>
      <c r="H6" s="20">
        <f>ROUND(G6/12,2)</f>
        <v>2.75</v>
      </c>
      <c r="I6" s="20">
        <f>H6*1.8</f>
        <v>4.95</v>
      </c>
      <c r="J6" s="21"/>
      <c r="K6" s="82"/>
      <c r="L6" s="20">
        <f>ROUND(K6/12,2)</f>
        <v>0</v>
      </c>
      <c r="M6" s="20">
        <f>L6*1.8</f>
        <v>0</v>
      </c>
      <c r="N6" s="21"/>
      <c r="O6" s="22">
        <f>SUMIF($C$3:$N$3,"SCH",C6:N6)</f>
        <v>66</v>
      </c>
      <c r="P6" s="22">
        <f t="shared" ref="P6:P7" si="0">ROUND(O6/24,2)</f>
        <v>2.75</v>
      </c>
      <c r="Q6" s="22">
        <f t="shared" ref="Q6:Q7" si="1">P6*1.8</f>
        <v>4.95</v>
      </c>
      <c r="R6" s="23"/>
    </row>
    <row r="7" spans="1:26" ht="18.75" customHeight="1" thickBot="1" x14ac:dyDescent="0.4">
      <c r="A7" s="146"/>
      <c r="B7" s="146" t="s">
        <v>10</v>
      </c>
      <c r="C7" s="84"/>
      <c r="D7" s="24">
        <f>ROUND(C7/12,2)</f>
        <v>0</v>
      </c>
      <c r="E7" s="24">
        <f>D7*1.8</f>
        <v>0</v>
      </c>
      <c r="F7" s="25"/>
      <c r="G7" s="83"/>
      <c r="H7" s="24">
        <f>ROUND(G7/12,2)</f>
        <v>0</v>
      </c>
      <c r="I7" s="24">
        <f>H7*1.8</f>
        <v>0</v>
      </c>
      <c r="J7" s="25"/>
      <c r="K7" s="84"/>
      <c r="L7" s="24">
        <f>ROUND(K7/12,2)</f>
        <v>0</v>
      </c>
      <c r="M7" s="24">
        <f>L7*1.8</f>
        <v>0</v>
      </c>
      <c r="N7" s="25"/>
      <c r="O7" s="92">
        <f>SUMIF($C$3:$N$3,"SCH",C7:N7)</f>
        <v>0</v>
      </c>
      <c r="P7" s="26">
        <f t="shared" si="0"/>
        <v>0</v>
      </c>
      <c r="Q7" s="26">
        <f t="shared" si="1"/>
        <v>0</v>
      </c>
      <c r="R7" s="27"/>
    </row>
    <row r="8" spans="1:26" ht="18.75" customHeight="1" x14ac:dyDescent="0.35">
      <c r="A8" s="171" t="s">
        <v>6</v>
      </c>
      <c r="B8" s="147"/>
      <c r="C8" s="88"/>
      <c r="D8" s="86"/>
      <c r="E8" s="86"/>
      <c r="F8" s="87"/>
      <c r="G8" s="85"/>
      <c r="H8" s="86"/>
      <c r="I8" s="86"/>
      <c r="J8" s="87"/>
      <c r="K8" s="88"/>
      <c r="L8" s="86"/>
      <c r="M8" s="86"/>
      <c r="N8" s="87"/>
      <c r="O8" s="66"/>
      <c r="P8" s="89"/>
      <c r="Q8" s="89"/>
      <c r="R8" s="90"/>
    </row>
    <row r="9" spans="1:26" ht="18.75" customHeight="1" x14ac:dyDescent="0.35">
      <c r="A9" s="145" t="s">
        <v>7</v>
      </c>
      <c r="B9" s="145" t="s">
        <v>8</v>
      </c>
      <c r="C9" s="82">
        <v>9274</v>
      </c>
      <c r="D9" s="20">
        <f>ROUND(C9/18,2)</f>
        <v>515.22</v>
      </c>
      <c r="E9" s="20"/>
      <c r="F9" s="21">
        <f>SUM(D9,E10:E11)</f>
        <v>515.22</v>
      </c>
      <c r="G9" s="81">
        <v>8429</v>
      </c>
      <c r="H9" s="20">
        <f>ROUND(G9/18,2)</f>
        <v>468.28</v>
      </c>
      <c r="I9" s="20"/>
      <c r="J9" s="21">
        <f>SUM(H9,I10:I11)</f>
        <v>468.28</v>
      </c>
      <c r="K9" s="82"/>
      <c r="L9" s="20">
        <f>ROUND(K9/18,2)</f>
        <v>0</v>
      </c>
      <c r="M9" s="20"/>
      <c r="N9" s="21">
        <f>SUM(L9,M10:M11)</f>
        <v>0</v>
      </c>
      <c r="O9" s="22">
        <f>SUMIF($C$3:$N$3,"SCH",C9:N9)</f>
        <v>17703</v>
      </c>
      <c r="P9" s="22">
        <f>ROUND(O9/36,2)</f>
        <v>491.75</v>
      </c>
      <c r="Q9" s="22"/>
      <c r="R9" s="23">
        <f>SUM(P9,Q10:Q11)</f>
        <v>491.75</v>
      </c>
    </row>
    <row r="10" spans="1:26" ht="18.75" customHeight="1" x14ac:dyDescent="0.35">
      <c r="A10" s="172"/>
      <c r="B10" s="145" t="s">
        <v>9</v>
      </c>
      <c r="C10" s="82"/>
      <c r="D10" s="20">
        <f>ROUND(C10/12,2)</f>
        <v>0</v>
      </c>
      <c r="E10" s="20">
        <f>D10*1.8</f>
        <v>0</v>
      </c>
      <c r="F10" s="21"/>
      <c r="G10" s="81"/>
      <c r="H10" s="20">
        <f>ROUND(G10/12,2)</f>
        <v>0</v>
      </c>
      <c r="I10" s="20">
        <f>H10*1.8</f>
        <v>0</v>
      </c>
      <c r="J10" s="21"/>
      <c r="K10" s="82"/>
      <c r="L10" s="20">
        <f>ROUND(K10/12,2)</f>
        <v>0</v>
      </c>
      <c r="M10" s="20">
        <f>L10*1.8</f>
        <v>0</v>
      </c>
      <c r="N10" s="21"/>
      <c r="O10" s="22">
        <f>SUMIF($C$3:$N$3,"SCH",C10:N10)</f>
        <v>0</v>
      </c>
      <c r="P10" s="22">
        <f>ROUND(O10/24,2)</f>
        <v>0</v>
      </c>
      <c r="Q10" s="22">
        <f>P10*1.8</f>
        <v>0</v>
      </c>
      <c r="R10" s="23"/>
    </row>
    <row r="11" spans="1:26" ht="18.75" customHeight="1" thickBot="1" x14ac:dyDescent="0.4">
      <c r="A11" s="146"/>
      <c r="B11" s="146" t="s">
        <v>10</v>
      </c>
      <c r="C11" s="84"/>
      <c r="D11" s="24">
        <f>ROUND(C11/12,2)</f>
        <v>0</v>
      </c>
      <c r="E11" s="24">
        <f>D11*1.8</f>
        <v>0</v>
      </c>
      <c r="F11" s="24"/>
      <c r="G11" s="83"/>
      <c r="H11" s="24">
        <f>ROUND(G11/12,2)</f>
        <v>0</v>
      </c>
      <c r="I11" s="24">
        <f>H11*1.8</f>
        <v>0</v>
      </c>
      <c r="J11" s="24"/>
      <c r="K11" s="84"/>
      <c r="L11" s="24">
        <f>ROUND(K11/12,2)</f>
        <v>0</v>
      </c>
      <c r="M11" s="24">
        <f>L11*1.8</f>
        <v>0</v>
      </c>
      <c r="N11" s="91"/>
      <c r="O11" s="92">
        <f>SUMIF($C$3:$N$3,"SCH",C11:N11)</f>
        <v>0</v>
      </c>
      <c r="P11" s="26">
        <f>ROUND(O11/24,2)</f>
        <v>0</v>
      </c>
      <c r="Q11" s="26">
        <f>P11*1.8</f>
        <v>0</v>
      </c>
      <c r="R11" s="27"/>
    </row>
    <row r="12" spans="1:26" ht="18.75" customHeight="1" x14ac:dyDescent="0.35">
      <c r="A12" s="148" t="s">
        <v>12</v>
      </c>
      <c r="B12" s="148"/>
      <c r="C12" s="80"/>
      <c r="D12" s="28"/>
      <c r="E12" s="28"/>
      <c r="F12" s="29"/>
      <c r="G12" s="79"/>
      <c r="H12" s="28"/>
      <c r="I12" s="28"/>
      <c r="J12" s="29"/>
      <c r="K12" s="80"/>
      <c r="L12" s="28"/>
      <c r="M12" s="28"/>
      <c r="N12" s="29"/>
      <c r="O12" s="30"/>
      <c r="P12" s="30"/>
      <c r="Q12" s="30"/>
      <c r="R12" s="31"/>
    </row>
    <row r="13" spans="1:26" ht="18.75" customHeight="1" x14ac:dyDescent="0.35">
      <c r="A13" s="145" t="s">
        <v>7</v>
      </c>
      <c r="B13" s="145" t="s">
        <v>8</v>
      </c>
      <c r="C13" s="82">
        <v>9699</v>
      </c>
      <c r="D13" s="20">
        <f>ROUND(C13/18,2)</f>
        <v>538.83000000000004</v>
      </c>
      <c r="E13" s="20"/>
      <c r="F13" s="21">
        <f>SUM(D13,E14:E15)</f>
        <v>610.66000000000008</v>
      </c>
      <c r="G13" s="81">
        <v>8092</v>
      </c>
      <c r="H13" s="20">
        <f>ROUND(G13/18,2)</f>
        <v>449.56</v>
      </c>
      <c r="I13" s="20"/>
      <c r="J13" s="21">
        <f>SUM(H13,I14:I15)</f>
        <v>528.05999999999995</v>
      </c>
      <c r="K13" s="82">
        <v>38</v>
      </c>
      <c r="L13" s="20">
        <f>ROUND(K13/18,2)</f>
        <v>2.11</v>
      </c>
      <c r="M13" s="20"/>
      <c r="N13" s="21">
        <f>SUM(L13,M14:M15)</f>
        <v>2.11</v>
      </c>
      <c r="O13" s="22">
        <f>SUMIF($C$3:$N$3,"SCH",C13:N13)</f>
        <v>17829</v>
      </c>
      <c r="P13" s="22">
        <f>ROUND(O13/36,2)</f>
        <v>495.25</v>
      </c>
      <c r="Q13" s="22"/>
      <c r="R13" s="23">
        <f>SUM(P13,Q14:Q15)</f>
        <v>570.41999999999996</v>
      </c>
    </row>
    <row r="14" spans="1:26" ht="18.75" customHeight="1" x14ac:dyDescent="0.35">
      <c r="A14" s="172"/>
      <c r="B14" s="145" t="s">
        <v>9</v>
      </c>
      <c r="C14" s="82">
        <v>622</v>
      </c>
      <c r="D14" s="20">
        <f>ROUND(C14/12,2)</f>
        <v>51.83</v>
      </c>
      <c r="E14" s="20">
        <f>D14*1</f>
        <v>51.83</v>
      </c>
      <c r="F14" s="21"/>
      <c r="G14" s="81">
        <v>858</v>
      </c>
      <c r="H14" s="20">
        <f>ROUND(G14/12,2)</f>
        <v>71.5</v>
      </c>
      <c r="I14" s="20">
        <f>H14*1</f>
        <v>71.5</v>
      </c>
      <c r="J14" s="21"/>
      <c r="K14" s="82"/>
      <c r="L14" s="20">
        <f>ROUND(K14/12,2)</f>
        <v>0</v>
      </c>
      <c r="M14" s="20">
        <f>L14*1</f>
        <v>0</v>
      </c>
      <c r="N14" s="21"/>
      <c r="O14" s="22">
        <f>SUMIF($C$3:$N$3,"SCH",C14:N14)</f>
        <v>1480</v>
      </c>
      <c r="P14" s="22">
        <f t="shared" ref="P14:P15" si="2">ROUND(O14/24,2)</f>
        <v>61.67</v>
      </c>
      <c r="Q14" s="22">
        <f t="shared" ref="Q14:Q15" si="3">P14*1</f>
        <v>61.67</v>
      </c>
      <c r="R14" s="23"/>
    </row>
    <row r="15" spans="1:26" ht="18.75" customHeight="1" thickBot="1" x14ac:dyDescent="0.4">
      <c r="A15" s="146"/>
      <c r="B15" s="146" t="s">
        <v>10</v>
      </c>
      <c r="C15" s="84">
        <v>240</v>
      </c>
      <c r="D15" s="24">
        <f>ROUND(C15/12,2)</f>
        <v>20</v>
      </c>
      <c r="E15" s="24">
        <f>D15*1</f>
        <v>20</v>
      </c>
      <c r="F15" s="25"/>
      <c r="G15" s="83">
        <v>84</v>
      </c>
      <c r="H15" s="24">
        <f>ROUND(G15/12,2)</f>
        <v>7</v>
      </c>
      <c r="I15" s="24">
        <f>H15*1</f>
        <v>7</v>
      </c>
      <c r="J15" s="25"/>
      <c r="K15" s="84"/>
      <c r="L15" s="24">
        <f>ROUND(K15/12,2)</f>
        <v>0</v>
      </c>
      <c r="M15" s="24">
        <f>L15*1</f>
        <v>0</v>
      </c>
      <c r="N15" s="25"/>
      <c r="O15" s="92">
        <f>SUMIF($C$3:$N$3,"SCH",C15:N15)</f>
        <v>324</v>
      </c>
      <c r="P15" s="26">
        <f t="shared" si="2"/>
        <v>13.5</v>
      </c>
      <c r="Q15" s="26">
        <f t="shared" si="3"/>
        <v>13.5</v>
      </c>
      <c r="R15" s="27"/>
    </row>
    <row r="16" spans="1:26" ht="18.75" customHeight="1" x14ac:dyDescent="0.35">
      <c r="A16" s="148" t="s">
        <v>13</v>
      </c>
      <c r="B16" s="149"/>
      <c r="C16" s="80"/>
      <c r="D16" s="28"/>
      <c r="E16" s="28"/>
      <c r="F16" s="29"/>
      <c r="G16" s="79"/>
      <c r="H16" s="28"/>
      <c r="I16" s="28"/>
      <c r="J16" s="29"/>
      <c r="K16" s="80"/>
      <c r="L16" s="28"/>
      <c r="M16" s="28"/>
      <c r="N16" s="29"/>
      <c r="O16" s="66"/>
      <c r="P16" s="30"/>
      <c r="Q16" s="30"/>
      <c r="R16" s="31"/>
    </row>
    <row r="17" spans="1:18" ht="18.75" customHeight="1" x14ac:dyDescent="0.35">
      <c r="A17" s="145" t="s">
        <v>7</v>
      </c>
      <c r="B17" s="150" t="s">
        <v>8</v>
      </c>
      <c r="C17" s="80">
        <f>231+8623</f>
        <v>8854</v>
      </c>
      <c r="D17" s="28">
        <f>ROUND(C17/18,2)</f>
        <v>491.89</v>
      </c>
      <c r="E17" s="28"/>
      <c r="F17" s="29">
        <f>SUM(D17,E18:E19)</f>
        <v>491.89</v>
      </c>
      <c r="G17" s="79">
        <f>588+1215</f>
        <v>1803</v>
      </c>
      <c r="H17" s="28">
        <f>ROUND(G17/18,2)</f>
        <v>100.17</v>
      </c>
      <c r="I17" s="28"/>
      <c r="J17" s="29">
        <f>SUM(H17,I18:I19)</f>
        <v>100.17</v>
      </c>
      <c r="K17" s="80">
        <v>414</v>
      </c>
      <c r="L17" s="28">
        <f>ROUND(K17/18,2)</f>
        <v>23</v>
      </c>
      <c r="M17" s="28"/>
      <c r="N17" s="29">
        <f>SUM(L17,M18:M19)</f>
        <v>23</v>
      </c>
      <c r="O17" s="22">
        <f t="shared" ref="O17:O80" si="4">SUMIF($C$3:$N$3,"SCH",C17:N17)</f>
        <v>11071</v>
      </c>
      <c r="P17" s="30">
        <f>ROUND(O17/36,2)</f>
        <v>307.52999999999997</v>
      </c>
      <c r="Q17" s="30"/>
      <c r="R17" s="31">
        <f>SUM(P17,Q18:Q19)</f>
        <v>307.52999999999997</v>
      </c>
    </row>
    <row r="18" spans="1:18" ht="18.75" customHeight="1" x14ac:dyDescent="0.35">
      <c r="A18" s="148"/>
      <c r="B18" s="150" t="s">
        <v>9</v>
      </c>
      <c r="C18" s="80"/>
      <c r="D18" s="28">
        <f>ROUND(C18/12,2)</f>
        <v>0</v>
      </c>
      <c r="E18" s="28">
        <f>D18*1</f>
        <v>0</v>
      </c>
      <c r="F18" s="29"/>
      <c r="G18" s="79"/>
      <c r="H18" s="28">
        <f>ROUND(G18/12,2)</f>
        <v>0</v>
      </c>
      <c r="I18" s="28">
        <f>H18*1</f>
        <v>0</v>
      </c>
      <c r="J18" s="29"/>
      <c r="K18" s="80"/>
      <c r="L18" s="28">
        <f>ROUND(K18/12,2)</f>
        <v>0</v>
      </c>
      <c r="M18" s="28">
        <f>L18*1</f>
        <v>0</v>
      </c>
      <c r="N18" s="29"/>
      <c r="O18" s="22">
        <f t="shared" si="4"/>
        <v>0</v>
      </c>
      <c r="P18" s="30">
        <f t="shared" ref="P18:P19" si="5">ROUND(O18/24,2)</f>
        <v>0</v>
      </c>
      <c r="Q18" s="30">
        <f t="shared" ref="Q18:Q19" si="6">P18*1</f>
        <v>0</v>
      </c>
      <c r="R18" s="31"/>
    </row>
    <row r="19" spans="1:18" ht="18.75" customHeight="1" x14ac:dyDescent="0.35">
      <c r="A19" s="148"/>
      <c r="B19" s="150" t="s">
        <v>10</v>
      </c>
      <c r="C19" s="80"/>
      <c r="D19" s="28">
        <f>ROUND(C19/12,2)</f>
        <v>0</v>
      </c>
      <c r="E19" s="28">
        <f>D19*1</f>
        <v>0</v>
      </c>
      <c r="F19" s="29"/>
      <c r="G19" s="79"/>
      <c r="H19" s="28">
        <f>ROUND(G19/12,2)</f>
        <v>0</v>
      </c>
      <c r="I19" s="28">
        <f>H19*1</f>
        <v>0</v>
      </c>
      <c r="J19" s="29"/>
      <c r="K19" s="80"/>
      <c r="L19" s="28">
        <f>ROUND(K19/12,2)</f>
        <v>0</v>
      </c>
      <c r="M19" s="28">
        <f>L19*1</f>
        <v>0</v>
      </c>
      <c r="N19" s="29"/>
      <c r="O19" s="22">
        <f t="shared" si="4"/>
        <v>0</v>
      </c>
      <c r="P19" s="30">
        <f t="shared" si="5"/>
        <v>0</v>
      </c>
      <c r="Q19" s="30">
        <f t="shared" si="6"/>
        <v>0</v>
      </c>
      <c r="R19" s="31"/>
    </row>
    <row r="20" spans="1:18" ht="18.75" customHeight="1" x14ac:dyDescent="0.35">
      <c r="A20" s="145" t="s">
        <v>14</v>
      </c>
      <c r="B20" s="145" t="s">
        <v>8</v>
      </c>
      <c r="C20" s="82"/>
      <c r="D20" s="20">
        <f>ROUND(C20/18,2)</f>
        <v>0</v>
      </c>
      <c r="E20" s="20"/>
      <c r="F20" s="21">
        <f>SUM(D20,E21:E22)</f>
        <v>0</v>
      </c>
      <c r="G20" s="81"/>
      <c r="H20" s="20">
        <f>ROUND(G20/18,2)</f>
        <v>0</v>
      </c>
      <c r="I20" s="20"/>
      <c r="J20" s="21">
        <f>SUM(H20,I21:I22)</f>
        <v>0</v>
      </c>
      <c r="K20" s="82"/>
      <c r="L20" s="20">
        <f>ROUND(K20/18,2)</f>
        <v>0</v>
      </c>
      <c r="M20" s="20"/>
      <c r="N20" s="21">
        <f>SUM(L20,M21:M22)</f>
        <v>0</v>
      </c>
      <c r="O20" s="22">
        <f t="shared" si="4"/>
        <v>0</v>
      </c>
      <c r="P20" s="22">
        <f>ROUND(O20/36,2)</f>
        <v>0</v>
      </c>
      <c r="Q20" s="22"/>
      <c r="R20" s="23">
        <f>SUM(P20,Q21:Q22)</f>
        <v>0</v>
      </c>
    </row>
    <row r="21" spans="1:18" ht="18.75" customHeight="1" x14ac:dyDescent="0.35">
      <c r="A21" s="145"/>
      <c r="B21" s="145" t="s">
        <v>9</v>
      </c>
      <c r="C21" s="82"/>
      <c r="D21" s="20">
        <f>ROUND(C21/12,2)</f>
        <v>0</v>
      </c>
      <c r="E21" s="28">
        <f>D21*1</f>
        <v>0</v>
      </c>
      <c r="F21" s="21"/>
      <c r="G21" s="81"/>
      <c r="H21" s="20">
        <f>ROUND(G21/12,2)</f>
        <v>0</v>
      </c>
      <c r="I21" s="28">
        <f>H21*1</f>
        <v>0</v>
      </c>
      <c r="J21" s="21"/>
      <c r="K21" s="82"/>
      <c r="L21" s="20">
        <f>ROUND(K21/12,2)</f>
        <v>0</v>
      </c>
      <c r="M21" s="28">
        <f>L21*1</f>
        <v>0</v>
      </c>
      <c r="N21" s="21"/>
      <c r="O21" s="22">
        <f t="shared" si="4"/>
        <v>0</v>
      </c>
      <c r="P21" s="22">
        <f t="shared" ref="P21:P22" si="7">ROUND(O21/24,2)</f>
        <v>0</v>
      </c>
      <c r="Q21" s="22">
        <f t="shared" ref="Q21:Q22" si="8">P21*1</f>
        <v>0</v>
      </c>
      <c r="R21" s="23"/>
    </row>
    <row r="22" spans="1:18" ht="18.75" customHeight="1" x14ac:dyDescent="0.35">
      <c r="A22" s="145"/>
      <c r="B22" s="145" t="s">
        <v>10</v>
      </c>
      <c r="C22" s="82"/>
      <c r="D22" s="20">
        <f>ROUND(C22/12,2)</f>
        <v>0</v>
      </c>
      <c r="E22" s="28">
        <f>D22*1</f>
        <v>0</v>
      </c>
      <c r="F22" s="21"/>
      <c r="G22" s="81"/>
      <c r="H22" s="20">
        <f>ROUND(G22/12,2)</f>
        <v>0</v>
      </c>
      <c r="I22" s="28">
        <f>H22*1</f>
        <v>0</v>
      </c>
      <c r="J22" s="21"/>
      <c r="K22" s="82"/>
      <c r="L22" s="20">
        <f>ROUND(K22/12,2)</f>
        <v>0</v>
      </c>
      <c r="M22" s="28">
        <f>L22*1</f>
        <v>0</v>
      </c>
      <c r="N22" s="21"/>
      <c r="O22" s="22">
        <f t="shared" si="4"/>
        <v>0</v>
      </c>
      <c r="P22" s="22">
        <f t="shared" si="7"/>
        <v>0</v>
      </c>
      <c r="Q22" s="22">
        <f t="shared" si="8"/>
        <v>0</v>
      </c>
      <c r="R22" s="23"/>
    </row>
    <row r="23" spans="1:18" ht="18.75" customHeight="1" x14ac:dyDescent="0.35">
      <c r="A23" s="145" t="s">
        <v>15</v>
      </c>
      <c r="B23" s="145" t="s">
        <v>8</v>
      </c>
      <c r="C23" s="82"/>
      <c r="D23" s="20">
        <f>ROUND(C23/18,2)</f>
        <v>0</v>
      </c>
      <c r="E23" s="20"/>
      <c r="F23" s="21">
        <f>SUM(D23,E24:E25)</f>
        <v>0</v>
      </c>
      <c r="G23" s="81"/>
      <c r="H23" s="20">
        <f>ROUND(G23/18,2)</f>
        <v>0</v>
      </c>
      <c r="I23" s="20"/>
      <c r="J23" s="21">
        <f>SUM(H23,I24:I25)</f>
        <v>0</v>
      </c>
      <c r="K23" s="82"/>
      <c r="L23" s="20">
        <f>ROUND(K23/18,2)</f>
        <v>0</v>
      </c>
      <c r="M23" s="20"/>
      <c r="N23" s="21">
        <f>SUM(L23,M24:M25)</f>
        <v>0</v>
      </c>
      <c r="O23" s="22">
        <f t="shared" si="4"/>
        <v>0</v>
      </c>
      <c r="P23" s="22">
        <f>ROUND(O23/36,2)</f>
        <v>0</v>
      </c>
      <c r="Q23" s="22"/>
      <c r="R23" s="23">
        <f>SUM(P23,Q24:Q25)</f>
        <v>0</v>
      </c>
    </row>
    <row r="24" spans="1:18" ht="18.75" customHeight="1" x14ac:dyDescent="0.35">
      <c r="A24" s="145"/>
      <c r="B24" s="145" t="s">
        <v>9</v>
      </c>
      <c r="C24" s="82"/>
      <c r="D24" s="20">
        <f>ROUND(C24/12,2)</f>
        <v>0</v>
      </c>
      <c r="E24" s="28">
        <f>D24*1</f>
        <v>0</v>
      </c>
      <c r="F24" s="21"/>
      <c r="G24" s="81"/>
      <c r="H24" s="20">
        <f>ROUND(G24/12,2)</f>
        <v>0</v>
      </c>
      <c r="I24" s="28">
        <f>H24*1</f>
        <v>0</v>
      </c>
      <c r="J24" s="21"/>
      <c r="K24" s="82"/>
      <c r="L24" s="20">
        <f>ROUND(K24/12,2)</f>
        <v>0</v>
      </c>
      <c r="M24" s="28">
        <f>L24*1</f>
        <v>0</v>
      </c>
      <c r="N24" s="21"/>
      <c r="O24" s="22">
        <f t="shared" si="4"/>
        <v>0</v>
      </c>
      <c r="P24" s="22">
        <f t="shared" ref="P24:P25" si="9">ROUND(O24/24,2)</f>
        <v>0</v>
      </c>
      <c r="Q24" s="22">
        <f t="shared" ref="Q24:Q25" si="10">P24*1</f>
        <v>0</v>
      </c>
      <c r="R24" s="23"/>
    </row>
    <row r="25" spans="1:18" ht="18.75" customHeight="1" x14ac:dyDescent="0.35">
      <c r="A25" s="145"/>
      <c r="B25" s="145" t="s">
        <v>10</v>
      </c>
      <c r="C25" s="82"/>
      <c r="D25" s="20">
        <f>ROUND(C25/12,2)</f>
        <v>0</v>
      </c>
      <c r="E25" s="28">
        <f>D25*1</f>
        <v>0</v>
      </c>
      <c r="F25" s="21"/>
      <c r="G25" s="81"/>
      <c r="H25" s="20">
        <f>ROUND(G25/12,2)</f>
        <v>0</v>
      </c>
      <c r="I25" s="28">
        <f>H25*1</f>
        <v>0</v>
      </c>
      <c r="J25" s="21"/>
      <c r="K25" s="82"/>
      <c r="L25" s="20">
        <f>ROUND(K25/12,2)</f>
        <v>0</v>
      </c>
      <c r="M25" s="28">
        <f>L25*1</f>
        <v>0</v>
      </c>
      <c r="N25" s="21"/>
      <c r="O25" s="22">
        <f t="shared" si="4"/>
        <v>0</v>
      </c>
      <c r="P25" s="22">
        <f t="shared" si="9"/>
        <v>0</v>
      </c>
      <c r="Q25" s="22">
        <f t="shared" si="10"/>
        <v>0</v>
      </c>
      <c r="R25" s="23"/>
    </row>
    <row r="26" spans="1:18" ht="18.75" customHeight="1" x14ac:dyDescent="0.35">
      <c r="A26" s="145" t="s">
        <v>16</v>
      </c>
      <c r="B26" s="145" t="s">
        <v>8</v>
      </c>
      <c r="C26" s="82"/>
      <c r="D26" s="20">
        <f>ROUND(C26/18,2)</f>
        <v>0</v>
      </c>
      <c r="E26" s="20"/>
      <c r="F26" s="21">
        <f>SUM(D26,E27:E28)</f>
        <v>0</v>
      </c>
      <c r="G26" s="81"/>
      <c r="H26" s="20">
        <f>ROUND(G26/18,2)</f>
        <v>0</v>
      </c>
      <c r="I26" s="20"/>
      <c r="J26" s="21">
        <f>SUM(H26,I27:I28)</f>
        <v>0</v>
      </c>
      <c r="K26" s="82"/>
      <c r="L26" s="20">
        <f>ROUND(K26/18,2)</f>
        <v>0</v>
      </c>
      <c r="M26" s="20"/>
      <c r="N26" s="21">
        <f>SUM(L26,M27:M28)</f>
        <v>0</v>
      </c>
      <c r="O26" s="22">
        <f t="shared" si="4"/>
        <v>0</v>
      </c>
      <c r="P26" s="22">
        <f>ROUND(O26/36,2)</f>
        <v>0</v>
      </c>
      <c r="Q26" s="22"/>
      <c r="R26" s="23">
        <f>SUM(P26,Q27:Q28)</f>
        <v>0</v>
      </c>
    </row>
    <row r="27" spans="1:18" ht="18.75" customHeight="1" x14ac:dyDescent="0.35">
      <c r="A27" s="145"/>
      <c r="B27" s="145" t="s">
        <v>9</v>
      </c>
      <c r="C27" s="82"/>
      <c r="D27" s="20">
        <f>ROUND(C27/12,2)</f>
        <v>0</v>
      </c>
      <c r="E27" s="28">
        <f>D27*1</f>
        <v>0</v>
      </c>
      <c r="F27" s="21"/>
      <c r="G27" s="81"/>
      <c r="H27" s="20">
        <f>ROUND(G27/12,2)</f>
        <v>0</v>
      </c>
      <c r="I27" s="28">
        <f>H27*1</f>
        <v>0</v>
      </c>
      <c r="J27" s="21"/>
      <c r="K27" s="82"/>
      <c r="L27" s="20">
        <f>ROUND(K27/12,2)</f>
        <v>0</v>
      </c>
      <c r="M27" s="28">
        <f>L27*1</f>
        <v>0</v>
      </c>
      <c r="N27" s="21"/>
      <c r="O27" s="22">
        <f t="shared" si="4"/>
        <v>0</v>
      </c>
      <c r="P27" s="22">
        <f t="shared" ref="P27:P28" si="11">ROUND(O27/24,2)</f>
        <v>0</v>
      </c>
      <c r="Q27" s="22">
        <f t="shared" ref="Q27:Q28" si="12">P27*1</f>
        <v>0</v>
      </c>
      <c r="R27" s="23"/>
    </row>
    <row r="28" spans="1:18" ht="18.75" customHeight="1" x14ac:dyDescent="0.35">
      <c r="A28" s="145"/>
      <c r="B28" s="145" t="s">
        <v>10</v>
      </c>
      <c r="C28" s="82"/>
      <c r="D28" s="20">
        <f>ROUND(C28/12,2)</f>
        <v>0</v>
      </c>
      <c r="E28" s="28">
        <f>D28*1</f>
        <v>0</v>
      </c>
      <c r="F28" s="21"/>
      <c r="G28" s="81"/>
      <c r="H28" s="20">
        <f>ROUND(G28/12,2)</f>
        <v>0</v>
      </c>
      <c r="I28" s="28">
        <f>H28*1</f>
        <v>0</v>
      </c>
      <c r="J28" s="21"/>
      <c r="K28" s="82"/>
      <c r="L28" s="20">
        <f>ROUND(K28/12,2)</f>
        <v>0</v>
      </c>
      <c r="M28" s="28">
        <f>L28*1</f>
        <v>0</v>
      </c>
      <c r="N28" s="21"/>
      <c r="O28" s="22">
        <f t="shared" si="4"/>
        <v>0</v>
      </c>
      <c r="P28" s="22">
        <f t="shared" si="11"/>
        <v>0</v>
      </c>
      <c r="Q28" s="22">
        <f t="shared" si="12"/>
        <v>0</v>
      </c>
      <c r="R28" s="23"/>
    </row>
    <row r="29" spans="1:18" ht="18.75" customHeight="1" x14ac:dyDescent="0.35">
      <c r="A29" s="145" t="s">
        <v>17</v>
      </c>
      <c r="B29" s="145" t="s">
        <v>8</v>
      </c>
      <c r="C29" s="82"/>
      <c r="D29" s="20">
        <f>ROUND(C29/18,2)</f>
        <v>0</v>
      </c>
      <c r="E29" s="20"/>
      <c r="F29" s="21">
        <f>SUM(D29,E30:E31)</f>
        <v>0</v>
      </c>
      <c r="G29" s="81"/>
      <c r="H29" s="20">
        <f>ROUND(G29/18,2)</f>
        <v>0</v>
      </c>
      <c r="I29" s="20"/>
      <c r="J29" s="21">
        <f>SUM(H29,I30:I31)</f>
        <v>0</v>
      </c>
      <c r="K29" s="82"/>
      <c r="L29" s="20">
        <f>ROUND(K29/18,2)</f>
        <v>0</v>
      </c>
      <c r="M29" s="20"/>
      <c r="N29" s="21">
        <f>SUM(L29,M30:M31)</f>
        <v>0</v>
      </c>
      <c r="O29" s="22">
        <f t="shared" si="4"/>
        <v>0</v>
      </c>
      <c r="P29" s="22">
        <f>ROUND(O29/36,2)</f>
        <v>0</v>
      </c>
      <c r="Q29" s="22"/>
      <c r="R29" s="23">
        <f>SUM(P29,Q30:Q31)</f>
        <v>0</v>
      </c>
    </row>
    <row r="30" spans="1:18" ht="18.75" customHeight="1" x14ac:dyDescent="0.35">
      <c r="A30" s="145"/>
      <c r="B30" s="145" t="s">
        <v>9</v>
      </c>
      <c r="C30" s="82"/>
      <c r="D30" s="20">
        <f>ROUND(C30/12,2)</f>
        <v>0</v>
      </c>
      <c r="E30" s="28">
        <f>D30*1</f>
        <v>0</v>
      </c>
      <c r="F30" s="21"/>
      <c r="G30" s="81"/>
      <c r="H30" s="20">
        <f>ROUND(G30/12,2)</f>
        <v>0</v>
      </c>
      <c r="I30" s="28">
        <f>H30*1</f>
        <v>0</v>
      </c>
      <c r="J30" s="21"/>
      <c r="K30" s="82"/>
      <c r="L30" s="20">
        <f>ROUND(K30/12,2)</f>
        <v>0</v>
      </c>
      <c r="M30" s="28">
        <f>L30*1</f>
        <v>0</v>
      </c>
      <c r="N30" s="21"/>
      <c r="O30" s="22">
        <f t="shared" si="4"/>
        <v>0</v>
      </c>
      <c r="P30" s="22">
        <f t="shared" ref="P30:P31" si="13">ROUND(O30/24,2)</f>
        <v>0</v>
      </c>
      <c r="Q30" s="22">
        <f t="shared" ref="Q30:Q31" si="14">P30*1</f>
        <v>0</v>
      </c>
      <c r="R30" s="23"/>
    </row>
    <row r="31" spans="1:18" ht="18.75" customHeight="1" x14ac:dyDescent="0.35">
      <c r="A31" s="145"/>
      <c r="B31" s="145" t="s">
        <v>10</v>
      </c>
      <c r="C31" s="82"/>
      <c r="D31" s="20">
        <f>ROUND(C31/12,2)</f>
        <v>0</v>
      </c>
      <c r="E31" s="28">
        <f>D31*1</f>
        <v>0</v>
      </c>
      <c r="F31" s="21"/>
      <c r="G31" s="81"/>
      <c r="H31" s="20">
        <f>ROUND(G31/12,2)</f>
        <v>0</v>
      </c>
      <c r="I31" s="28">
        <f>H31*1</f>
        <v>0</v>
      </c>
      <c r="J31" s="21"/>
      <c r="K31" s="82"/>
      <c r="L31" s="20">
        <f>ROUND(K31/12,2)</f>
        <v>0</v>
      </c>
      <c r="M31" s="28">
        <f>L31*1</f>
        <v>0</v>
      </c>
      <c r="N31" s="21"/>
      <c r="O31" s="22">
        <f t="shared" si="4"/>
        <v>0</v>
      </c>
      <c r="P31" s="22">
        <f t="shared" si="13"/>
        <v>0</v>
      </c>
      <c r="Q31" s="22">
        <f t="shared" si="14"/>
        <v>0</v>
      </c>
      <c r="R31" s="23"/>
    </row>
    <row r="32" spans="1:18" ht="18.75" customHeight="1" x14ac:dyDescent="0.35">
      <c r="A32" s="145" t="s">
        <v>18</v>
      </c>
      <c r="B32" s="145" t="s">
        <v>8</v>
      </c>
      <c r="C32" s="82"/>
      <c r="D32" s="20">
        <f>ROUND(C32/18,2)</f>
        <v>0</v>
      </c>
      <c r="E32" s="20"/>
      <c r="F32" s="21">
        <f>SUM(D32,E33:E34)</f>
        <v>0</v>
      </c>
      <c r="G32" s="81"/>
      <c r="H32" s="20">
        <f>ROUND(G32/18,2)</f>
        <v>0</v>
      </c>
      <c r="I32" s="20"/>
      <c r="J32" s="21">
        <f>SUM(H32,I33:I34)</f>
        <v>0</v>
      </c>
      <c r="K32" s="82"/>
      <c r="L32" s="20">
        <f>ROUND(K32/18,2)</f>
        <v>0</v>
      </c>
      <c r="M32" s="20"/>
      <c r="N32" s="21">
        <f>SUM(L32,M33:M34)</f>
        <v>0</v>
      </c>
      <c r="O32" s="22">
        <f t="shared" si="4"/>
        <v>0</v>
      </c>
      <c r="P32" s="22">
        <f>ROUND(O32/36,2)</f>
        <v>0</v>
      </c>
      <c r="Q32" s="22"/>
      <c r="R32" s="23">
        <f>SUM(P32,Q33:Q34)</f>
        <v>0</v>
      </c>
    </row>
    <row r="33" spans="1:18" ht="18.75" customHeight="1" x14ac:dyDescent="0.35">
      <c r="A33" s="145"/>
      <c r="B33" s="145" t="s">
        <v>9</v>
      </c>
      <c r="C33" s="82"/>
      <c r="D33" s="20">
        <f>ROUND(C33/12,2)</f>
        <v>0</v>
      </c>
      <c r="E33" s="28">
        <f>D33*1</f>
        <v>0</v>
      </c>
      <c r="F33" s="21"/>
      <c r="G33" s="81"/>
      <c r="H33" s="20">
        <f>ROUND(G33/12,2)</f>
        <v>0</v>
      </c>
      <c r="I33" s="28">
        <f>H33*1</f>
        <v>0</v>
      </c>
      <c r="J33" s="21"/>
      <c r="K33" s="82"/>
      <c r="L33" s="20">
        <f>ROUND(K33/12,2)</f>
        <v>0</v>
      </c>
      <c r="M33" s="28">
        <f>L33*1</f>
        <v>0</v>
      </c>
      <c r="N33" s="21"/>
      <c r="O33" s="22">
        <f t="shared" si="4"/>
        <v>0</v>
      </c>
      <c r="P33" s="22">
        <f t="shared" ref="P33:P34" si="15">ROUND(O33/24,2)</f>
        <v>0</v>
      </c>
      <c r="Q33" s="22">
        <f t="shared" ref="Q33:Q34" si="16">P33*1</f>
        <v>0</v>
      </c>
      <c r="R33" s="23"/>
    </row>
    <row r="34" spans="1:18" ht="18.75" customHeight="1" x14ac:dyDescent="0.35">
      <c r="A34" s="145"/>
      <c r="B34" s="145" t="s">
        <v>10</v>
      </c>
      <c r="C34" s="82"/>
      <c r="D34" s="20">
        <f>ROUND(C34/12,2)</f>
        <v>0</v>
      </c>
      <c r="E34" s="28">
        <f>D34*1</f>
        <v>0</v>
      </c>
      <c r="F34" s="21"/>
      <c r="G34" s="81"/>
      <c r="H34" s="20">
        <f>ROUND(G34/12,2)</f>
        <v>0</v>
      </c>
      <c r="I34" s="28">
        <f>H34*1</f>
        <v>0</v>
      </c>
      <c r="J34" s="21"/>
      <c r="K34" s="82"/>
      <c r="L34" s="20">
        <f>ROUND(K34/12,2)</f>
        <v>0</v>
      </c>
      <c r="M34" s="28">
        <f>L34*1</f>
        <v>0</v>
      </c>
      <c r="N34" s="21"/>
      <c r="O34" s="22">
        <f t="shared" si="4"/>
        <v>0</v>
      </c>
      <c r="P34" s="22">
        <f t="shared" si="15"/>
        <v>0</v>
      </c>
      <c r="Q34" s="22">
        <f t="shared" si="16"/>
        <v>0</v>
      </c>
      <c r="R34" s="23"/>
    </row>
    <row r="35" spans="1:18" ht="18.75" customHeight="1" x14ac:dyDescent="0.35">
      <c r="A35" s="145" t="s">
        <v>19</v>
      </c>
      <c r="B35" s="145" t="s">
        <v>8</v>
      </c>
      <c r="C35" s="82"/>
      <c r="D35" s="20">
        <f>ROUND(C35/18,2)</f>
        <v>0</v>
      </c>
      <c r="E35" s="20"/>
      <c r="F35" s="21">
        <f>SUM(D35,E36:E37)</f>
        <v>0</v>
      </c>
      <c r="G35" s="81"/>
      <c r="H35" s="20">
        <f>ROUND(G35/18,2)</f>
        <v>0</v>
      </c>
      <c r="I35" s="20"/>
      <c r="J35" s="21">
        <f>SUM(H35,I36:I37)</f>
        <v>0</v>
      </c>
      <c r="K35" s="82"/>
      <c r="L35" s="20">
        <f>ROUND(K35/18,2)</f>
        <v>0</v>
      </c>
      <c r="M35" s="20"/>
      <c r="N35" s="21">
        <f>SUM(L35,M36:M37)</f>
        <v>0</v>
      </c>
      <c r="O35" s="22">
        <f t="shared" si="4"/>
        <v>0</v>
      </c>
      <c r="P35" s="22">
        <f>ROUND(O35/36,2)</f>
        <v>0</v>
      </c>
      <c r="Q35" s="22"/>
      <c r="R35" s="23">
        <f>SUM(P35,Q36:Q37)</f>
        <v>0</v>
      </c>
    </row>
    <row r="36" spans="1:18" ht="18.75" customHeight="1" x14ac:dyDescent="0.35">
      <c r="A36" s="145"/>
      <c r="B36" s="145" t="s">
        <v>9</v>
      </c>
      <c r="C36" s="82"/>
      <c r="D36" s="20">
        <f>ROUND(C36/12,2)</f>
        <v>0</v>
      </c>
      <c r="E36" s="28">
        <f>D36*1</f>
        <v>0</v>
      </c>
      <c r="F36" s="21"/>
      <c r="G36" s="81"/>
      <c r="H36" s="20">
        <f>ROUND(G36/12,2)</f>
        <v>0</v>
      </c>
      <c r="I36" s="28">
        <f>H36*1</f>
        <v>0</v>
      </c>
      <c r="J36" s="21"/>
      <c r="K36" s="82"/>
      <c r="L36" s="20">
        <f>ROUND(K36/12,2)</f>
        <v>0</v>
      </c>
      <c r="M36" s="28">
        <f>L36*1</f>
        <v>0</v>
      </c>
      <c r="N36" s="21"/>
      <c r="O36" s="22">
        <f t="shared" si="4"/>
        <v>0</v>
      </c>
      <c r="P36" s="22">
        <f t="shared" ref="P36:P37" si="17">ROUND(O36/24,2)</f>
        <v>0</v>
      </c>
      <c r="Q36" s="22">
        <f t="shared" ref="Q36:Q37" si="18">P36*1</f>
        <v>0</v>
      </c>
      <c r="R36" s="23"/>
    </row>
    <row r="37" spans="1:18" ht="18.75" customHeight="1" x14ac:dyDescent="0.35">
      <c r="A37" s="145"/>
      <c r="B37" s="145" t="s">
        <v>10</v>
      </c>
      <c r="C37" s="82"/>
      <c r="D37" s="20">
        <f>ROUND(C37/12,2)</f>
        <v>0</v>
      </c>
      <c r="E37" s="28">
        <f>D37*1</f>
        <v>0</v>
      </c>
      <c r="F37" s="21"/>
      <c r="G37" s="81"/>
      <c r="H37" s="20">
        <f>ROUND(G37/12,2)</f>
        <v>0</v>
      </c>
      <c r="I37" s="28">
        <f>H37*1</f>
        <v>0</v>
      </c>
      <c r="J37" s="21"/>
      <c r="K37" s="82"/>
      <c r="L37" s="20">
        <f>ROUND(K37/12,2)</f>
        <v>0</v>
      </c>
      <c r="M37" s="28">
        <f>L37*1</f>
        <v>0</v>
      </c>
      <c r="N37" s="21"/>
      <c r="O37" s="22">
        <f t="shared" si="4"/>
        <v>0</v>
      </c>
      <c r="P37" s="22">
        <f t="shared" si="17"/>
        <v>0</v>
      </c>
      <c r="Q37" s="22">
        <f t="shared" si="18"/>
        <v>0</v>
      </c>
      <c r="R37" s="23"/>
    </row>
    <row r="38" spans="1:18" ht="18.75" customHeight="1" x14ac:dyDescent="0.35">
      <c r="A38" s="145" t="s">
        <v>20</v>
      </c>
      <c r="B38" s="145" t="s">
        <v>8</v>
      </c>
      <c r="C38" s="82"/>
      <c r="D38" s="20">
        <f>ROUND(C38/18,2)</f>
        <v>0</v>
      </c>
      <c r="E38" s="20"/>
      <c r="F38" s="21">
        <f>SUM(D38,E39:E40)</f>
        <v>0</v>
      </c>
      <c r="G38" s="81"/>
      <c r="H38" s="20">
        <f>ROUND(G38/18,2)</f>
        <v>0</v>
      </c>
      <c r="I38" s="20"/>
      <c r="J38" s="21">
        <f>SUM(H38,I39:I40)</f>
        <v>0</v>
      </c>
      <c r="K38" s="82"/>
      <c r="L38" s="20">
        <f>ROUND(K38/18,2)</f>
        <v>0</v>
      </c>
      <c r="M38" s="20"/>
      <c r="N38" s="21">
        <f>SUM(L38,M39:M40)</f>
        <v>0</v>
      </c>
      <c r="O38" s="22">
        <f t="shared" si="4"/>
        <v>0</v>
      </c>
      <c r="P38" s="22">
        <f>ROUND(O38/36,2)</f>
        <v>0</v>
      </c>
      <c r="Q38" s="22"/>
      <c r="R38" s="23">
        <f>SUM(P38,Q39:Q40)</f>
        <v>0</v>
      </c>
    </row>
    <row r="39" spans="1:18" ht="18.75" customHeight="1" x14ac:dyDescent="0.35">
      <c r="A39" s="145"/>
      <c r="B39" s="145" t="s">
        <v>9</v>
      </c>
      <c r="C39" s="82"/>
      <c r="D39" s="20">
        <f>ROUND(C39/12,2)</f>
        <v>0</v>
      </c>
      <c r="E39" s="28">
        <f>D39*1</f>
        <v>0</v>
      </c>
      <c r="F39" s="21"/>
      <c r="G39" s="81"/>
      <c r="H39" s="20">
        <f>ROUND(G39/12,2)</f>
        <v>0</v>
      </c>
      <c r="I39" s="28">
        <f>H39*1</f>
        <v>0</v>
      </c>
      <c r="J39" s="21"/>
      <c r="K39" s="82"/>
      <c r="L39" s="20">
        <f>ROUND(K39/12,2)</f>
        <v>0</v>
      </c>
      <c r="M39" s="28">
        <f>L39*1</f>
        <v>0</v>
      </c>
      <c r="N39" s="21"/>
      <c r="O39" s="22">
        <f t="shared" si="4"/>
        <v>0</v>
      </c>
      <c r="P39" s="22">
        <f t="shared" ref="P39:P40" si="19">ROUND(O39/24,2)</f>
        <v>0</v>
      </c>
      <c r="Q39" s="22">
        <f t="shared" ref="Q39:Q40" si="20">P39*1</f>
        <v>0</v>
      </c>
      <c r="R39" s="23"/>
    </row>
    <row r="40" spans="1:18" ht="18.75" customHeight="1" x14ac:dyDescent="0.35">
      <c r="A40" s="145"/>
      <c r="B40" s="145" t="s">
        <v>10</v>
      </c>
      <c r="C40" s="82"/>
      <c r="D40" s="20">
        <f>ROUND(C40/12,2)</f>
        <v>0</v>
      </c>
      <c r="E40" s="28">
        <f>D40*1</f>
        <v>0</v>
      </c>
      <c r="F40" s="21"/>
      <c r="G40" s="81"/>
      <c r="H40" s="20">
        <f>ROUND(G40/12,2)</f>
        <v>0</v>
      </c>
      <c r="I40" s="28">
        <f>H40*1</f>
        <v>0</v>
      </c>
      <c r="J40" s="21"/>
      <c r="K40" s="82"/>
      <c r="L40" s="20">
        <f>ROUND(K40/12,2)</f>
        <v>0</v>
      </c>
      <c r="M40" s="28">
        <f>L40*1</f>
        <v>0</v>
      </c>
      <c r="N40" s="21"/>
      <c r="O40" s="22">
        <f t="shared" si="4"/>
        <v>0</v>
      </c>
      <c r="P40" s="22">
        <f t="shared" si="19"/>
        <v>0</v>
      </c>
      <c r="Q40" s="22">
        <f t="shared" si="20"/>
        <v>0</v>
      </c>
      <c r="R40" s="23"/>
    </row>
    <row r="41" spans="1:18" ht="18.75" customHeight="1" x14ac:dyDescent="0.35">
      <c r="A41" s="145" t="s">
        <v>21</v>
      </c>
      <c r="B41" s="145" t="s">
        <v>8</v>
      </c>
      <c r="C41" s="82"/>
      <c r="D41" s="20">
        <f>ROUND(C41/18,2)</f>
        <v>0</v>
      </c>
      <c r="E41" s="20"/>
      <c r="F41" s="21">
        <f>SUM(D41,E42:E43)</f>
        <v>0</v>
      </c>
      <c r="G41" s="81"/>
      <c r="H41" s="20">
        <f>ROUND(G41/18,2)</f>
        <v>0</v>
      </c>
      <c r="I41" s="20"/>
      <c r="J41" s="21">
        <f>SUM(H41,I42:I43)</f>
        <v>0</v>
      </c>
      <c r="K41" s="82"/>
      <c r="L41" s="20">
        <f>ROUND(K41/18,2)</f>
        <v>0</v>
      </c>
      <c r="M41" s="20"/>
      <c r="N41" s="21">
        <f>SUM(L41,M42:M43)</f>
        <v>0</v>
      </c>
      <c r="O41" s="22">
        <f t="shared" si="4"/>
        <v>0</v>
      </c>
      <c r="P41" s="22">
        <f>ROUND(O41/36,2)</f>
        <v>0</v>
      </c>
      <c r="Q41" s="22"/>
      <c r="R41" s="23">
        <f>SUM(P41,Q42:Q43)</f>
        <v>0</v>
      </c>
    </row>
    <row r="42" spans="1:18" ht="18.75" customHeight="1" x14ac:dyDescent="0.35">
      <c r="A42" s="145"/>
      <c r="B42" s="145" t="s">
        <v>9</v>
      </c>
      <c r="C42" s="82"/>
      <c r="D42" s="20">
        <f>ROUND(C42/12,2)</f>
        <v>0</v>
      </c>
      <c r="E42" s="28">
        <f>D42*1</f>
        <v>0</v>
      </c>
      <c r="F42" s="21"/>
      <c r="G42" s="81"/>
      <c r="H42" s="20">
        <f>ROUND(G42/12,2)</f>
        <v>0</v>
      </c>
      <c r="I42" s="28">
        <f>H42*1</f>
        <v>0</v>
      </c>
      <c r="J42" s="21"/>
      <c r="K42" s="82"/>
      <c r="L42" s="20">
        <f>ROUND(K42/12,2)</f>
        <v>0</v>
      </c>
      <c r="M42" s="28">
        <f>L42*1</f>
        <v>0</v>
      </c>
      <c r="N42" s="21"/>
      <c r="O42" s="22">
        <f t="shared" si="4"/>
        <v>0</v>
      </c>
      <c r="P42" s="22">
        <f t="shared" ref="P42:P43" si="21">ROUND(O42/24,2)</f>
        <v>0</v>
      </c>
      <c r="Q42" s="22">
        <f t="shared" ref="Q42:Q43" si="22">P42*1</f>
        <v>0</v>
      </c>
      <c r="R42" s="23"/>
    </row>
    <row r="43" spans="1:18" ht="18.75" customHeight="1" x14ac:dyDescent="0.35">
      <c r="A43" s="145"/>
      <c r="B43" s="145" t="s">
        <v>10</v>
      </c>
      <c r="C43" s="82"/>
      <c r="D43" s="20">
        <f>ROUND(C43/12,2)</f>
        <v>0</v>
      </c>
      <c r="E43" s="28">
        <f>D43*1</f>
        <v>0</v>
      </c>
      <c r="F43" s="21"/>
      <c r="G43" s="81"/>
      <c r="H43" s="20">
        <f>ROUND(G43/12,2)</f>
        <v>0</v>
      </c>
      <c r="I43" s="28">
        <f>H43*1</f>
        <v>0</v>
      </c>
      <c r="J43" s="21"/>
      <c r="K43" s="82"/>
      <c r="L43" s="20">
        <f>ROUND(K43/12,2)</f>
        <v>0</v>
      </c>
      <c r="M43" s="28">
        <f>L43*1</f>
        <v>0</v>
      </c>
      <c r="N43" s="21"/>
      <c r="O43" s="22">
        <f t="shared" si="4"/>
        <v>0</v>
      </c>
      <c r="P43" s="22">
        <f t="shared" si="21"/>
        <v>0</v>
      </c>
      <c r="Q43" s="22">
        <f t="shared" si="22"/>
        <v>0</v>
      </c>
      <c r="R43" s="23"/>
    </row>
    <row r="44" spans="1:18" ht="18.75" customHeight="1" x14ac:dyDescent="0.35">
      <c r="A44" s="173" t="s">
        <v>22</v>
      </c>
      <c r="B44" s="151" t="s">
        <v>8</v>
      </c>
      <c r="C44" s="93">
        <f>SUMIF($B$16:$B$43,"ปริญญาตรี",C16:C43)</f>
        <v>8854</v>
      </c>
      <c r="D44" s="251">
        <f>ROUND(C44/18,2)</f>
        <v>491.89</v>
      </c>
      <c r="E44" s="251"/>
      <c r="F44" s="252">
        <f>SUM(D44,E45:E46)</f>
        <v>491.89</v>
      </c>
      <c r="G44" s="253">
        <f>SUMIF($B$16:$B$43,"ปริญญาตรี",G16:G43)</f>
        <v>1803</v>
      </c>
      <c r="H44" s="251">
        <f>ROUND(G44/18,2)</f>
        <v>100.17</v>
      </c>
      <c r="I44" s="251"/>
      <c r="J44" s="252">
        <f>SUM(H44,I45:I46)</f>
        <v>100.17</v>
      </c>
      <c r="K44" s="253">
        <f>SUMIF($B$16:$B$43,"ปริญญาตรี",K16:K43)</f>
        <v>414</v>
      </c>
      <c r="L44" s="251">
        <f>ROUND(K44/18,2)</f>
        <v>23</v>
      </c>
      <c r="M44" s="251"/>
      <c r="N44" s="252">
        <f>SUM(L44,M45:M46)</f>
        <v>23</v>
      </c>
      <c r="O44" s="256">
        <f t="shared" si="4"/>
        <v>11071</v>
      </c>
      <c r="P44" s="257">
        <f>ROUND(O44/36,2)</f>
        <v>307.52999999999997</v>
      </c>
      <c r="Q44" s="257"/>
      <c r="R44" s="258">
        <f>SUM(P44,Q45:Q46)</f>
        <v>307.52999999999997</v>
      </c>
    </row>
    <row r="45" spans="1:18" ht="18.75" customHeight="1" x14ac:dyDescent="0.35">
      <c r="A45" s="174" t="s">
        <v>22</v>
      </c>
      <c r="B45" s="151" t="s">
        <v>9</v>
      </c>
      <c r="C45" s="93">
        <f>SUMIF($B$16:$B$43,"ปริญญาโท",C16:C43)</f>
        <v>0</v>
      </c>
      <c r="D45" s="251">
        <f t="shared" ref="D45:D46" si="23">ROUND(C45/12,2)</f>
        <v>0</v>
      </c>
      <c r="E45" s="251">
        <f t="shared" ref="E45:E46" si="24">D45*1</f>
        <v>0</v>
      </c>
      <c r="F45" s="252"/>
      <c r="G45" s="253">
        <f>SUMIF($B$16:$B$43,"ปริญญาโท",G16:G43)</f>
        <v>0</v>
      </c>
      <c r="H45" s="251">
        <f t="shared" ref="H45:H46" si="25">ROUND(G45/12,2)</f>
        <v>0</v>
      </c>
      <c r="I45" s="251">
        <f t="shared" ref="I45:I46" si="26">H45*1</f>
        <v>0</v>
      </c>
      <c r="J45" s="252"/>
      <c r="K45" s="253">
        <f>SUMIF($B$16:$B$43,"ปริญญาโท",K16:K43)</f>
        <v>0</v>
      </c>
      <c r="L45" s="251">
        <f t="shared" ref="L45:L46" si="27">ROUND(K45/12,2)</f>
        <v>0</v>
      </c>
      <c r="M45" s="251">
        <f t="shared" ref="M45:M46" si="28">L45*1</f>
        <v>0</v>
      </c>
      <c r="N45" s="252"/>
      <c r="O45" s="266">
        <f t="shared" si="4"/>
        <v>0</v>
      </c>
      <c r="P45" s="257">
        <f t="shared" ref="P45:P46" si="29">ROUND(O45/24,2)</f>
        <v>0</v>
      </c>
      <c r="Q45" s="257">
        <f t="shared" ref="Q45:Q46" si="30">P45*1</f>
        <v>0</v>
      </c>
      <c r="R45" s="258"/>
    </row>
    <row r="46" spans="1:18" ht="18.75" customHeight="1" thickBot="1" x14ac:dyDescent="0.4">
      <c r="A46" s="175" t="s">
        <v>22</v>
      </c>
      <c r="B46" s="152" t="s">
        <v>10</v>
      </c>
      <c r="C46" s="94">
        <f>SUMIF($B$16:$B$43,"ปริญญาเอก",C16:C43)</f>
        <v>0</v>
      </c>
      <c r="D46" s="259">
        <f t="shared" si="23"/>
        <v>0</v>
      </c>
      <c r="E46" s="259">
        <f t="shared" si="24"/>
        <v>0</v>
      </c>
      <c r="F46" s="260"/>
      <c r="G46" s="261">
        <f>SUMIF($B$16:$B$43,"ปริญญาเอก",G16:G43)</f>
        <v>0</v>
      </c>
      <c r="H46" s="259">
        <f t="shared" si="25"/>
        <v>0</v>
      </c>
      <c r="I46" s="259">
        <f t="shared" si="26"/>
        <v>0</v>
      </c>
      <c r="J46" s="260"/>
      <c r="K46" s="261">
        <f>SUMIF($B$16:$B$43,"ปริญญาเอก",K16:K43)</f>
        <v>0</v>
      </c>
      <c r="L46" s="259">
        <f t="shared" si="27"/>
        <v>0</v>
      </c>
      <c r="M46" s="259">
        <f t="shared" si="28"/>
        <v>0</v>
      </c>
      <c r="N46" s="260"/>
      <c r="O46" s="267">
        <f t="shared" si="4"/>
        <v>0</v>
      </c>
      <c r="P46" s="263">
        <f t="shared" si="29"/>
        <v>0</v>
      </c>
      <c r="Q46" s="263">
        <f t="shared" si="30"/>
        <v>0</v>
      </c>
      <c r="R46" s="264"/>
    </row>
    <row r="47" spans="1:18" ht="18.75" customHeight="1" x14ac:dyDescent="0.35">
      <c r="A47" s="148" t="s">
        <v>23</v>
      </c>
      <c r="B47" s="149"/>
      <c r="C47" s="80"/>
      <c r="D47" s="28"/>
      <c r="E47" s="28"/>
      <c r="F47" s="29"/>
      <c r="G47" s="79"/>
      <c r="H47" s="28"/>
      <c r="I47" s="28"/>
      <c r="J47" s="29"/>
      <c r="K47" s="80"/>
      <c r="L47" s="28"/>
      <c r="M47" s="28"/>
      <c r="N47" s="29"/>
      <c r="O47" s="66"/>
      <c r="P47" s="30"/>
      <c r="Q47" s="30"/>
      <c r="R47" s="31"/>
    </row>
    <row r="48" spans="1:18" ht="18.75" customHeight="1" x14ac:dyDescent="0.35">
      <c r="A48" s="145" t="s">
        <v>7</v>
      </c>
      <c r="B48" s="145" t="s">
        <v>8</v>
      </c>
      <c r="C48" s="82">
        <v>3571</v>
      </c>
      <c r="D48" s="20">
        <f>ROUND(C48/18,2)</f>
        <v>198.39</v>
      </c>
      <c r="E48" s="20"/>
      <c r="F48" s="21">
        <f>SUM(D48,E49:E50)</f>
        <v>210.39</v>
      </c>
      <c r="G48" s="81">
        <v>3816</v>
      </c>
      <c r="H48" s="20">
        <f>ROUND(G48/18,2)</f>
        <v>212</v>
      </c>
      <c r="I48" s="20"/>
      <c r="J48" s="21">
        <f>SUM(H48,I49:I50)</f>
        <v>222</v>
      </c>
      <c r="K48" s="82"/>
      <c r="L48" s="20">
        <f>ROUND(K48/18,2)</f>
        <v>0</v>
      </c>
      <c r="M48" s="20"/>
      <c r="N48" s="21">
        <f>SUM(L48,M49:M50)</f>
        <v>0</v>
      </c>
      <c r="O48" s="22">
        <f t="shared" si="4"/>
        <v>7387</v>
      </c>
      <c r="P48" s="22">
        <f>ROUND(O48/36,2)</f>
        <v>205.19</v>
      </c>
      <c r="Q48" s="22"/>
      <c r="R48" s="23">
        <f>SUM(P48,Q49:Q50)</f>
        <v>216.19</v>
      </c>
    </row>
    <row r="49" spans="1:18" ht="18.75" customHeight="1" x14ac:dyDescent="0.35">
      <c r="A49" s="163"/>
      <c r="B49" s="145" t="s">
        <v>9</v>
      </c>
      <c r="C49" s="82">
        <v>72</v>
      </c>
      <c r="D49" s="20">
        <f>ROUND(C49/12,2)</f>
        <v>6</v>
      </c>
      <c r="E49" s="20">
        <f>D49*2</f>
        <v>12</v>
      </c>
      <c r="F49" s="21"/>
      <c r="G49" s="81">
        <v>60</v>
      </c>
      <c r="H49" s="20">
        <f>ROUND(G49/12,2)</f>
        <v>5</v>
      </c>
      <c r="I49" s="20">
        <f>H49*2</f>
        <v>10</v>
      </c>
      <c r="J49" s="21"/>
      <c r="K49" s="82"/>
      <c r="L49" s="20">
        <f>ROUND(K49/12,2)</f>
        <v>0</v>
      </c>
      <c r="M49" s="20">
        <f>L49*2</f>
        <v>0</v>
      </c>
      <c r="N49" s="21"/>
      <c r="O49" s="22">
        <f t="shared" si="4"/>
        <v>132</v>
      </c>
      <c r="P49" s="22">
        <f t="shared" ref="P49:P50" si="31">ROUND(O49/24,2)</f>
        <v>5.5</v>
      </c>
      <c r="Q49" s="22">
        <f t="shared" ref="Q49:Q50" si="32">P49*2</f>
        <v>11</v>
      </c>
      <c r="R49" s="23"/>
    </row>
    <row r="50" spans="1:18" ht="18.75" customHeight="1" thickBot="1" x14ac:dyDescent="0.4">
      <c r="A50" s="164"/>
      <c r="B50" s="146" t="s">
        <v>10</v>
      </c>
      <c r="C50" s="84"/>
      <c r="D50" s="24">
        <f>ROUND(C50/12,2)</f>
        <v>0</v>
      </c>
      <c r="E50" s="24">
        <f>D50*2</f>
        <v>0</v>
      </c>
      <c r="F50" s="25"/>
      <c r="G50" s="83"/>
      <c r="H50" s="24">
        <f>ROUND(G50/12,2)</f>
        <v>0</v>
      </c>
      <c r="I50" s="24">
        <f>H50*2</f>
        <v>0</v>
      </c>
      <c r="J50" s="25"/>
      <c r="K50" s="84"/>
      <c r="L50" s="24">
        <f>ROUND(K50/12,2)</f>
        <v>0</v>
      </c>
      <c r="M50" s="24">
        <f>L50*2</f>
        <v>0</v>
      </c>
      <c r="N50" s="25"/>
      <c r="O50" s="92">
        <f t="shared" si="4"/>
        <v>0</v>
      </c>
      <c r="P50" s="26">
        <f t="shared" si="31"/>
        <v>0</v>
      </c>
      <c r="Q50" s="26">
        <f t="shared" si="32"/>
        <v>0</v>
      </c>
      <c r="R50" s="27"/>
    </row>
    <row r="51" spans="1:18" ht="18.75" customHeight="1" x14ac:dyDescent="0.35">
      <c r="A51" s="148" t="s">
        <v>24</v>
      </c>
      <c r="B51" s="149"/>
      <c r="C51" s="80"/>
      <c r="D51" s="28"/>
      <c r="E51" s="28"/>
      <c r="F51" s="29"/>
      <c r="G51" s="79"/>
      <c r="H51" s="28"/>
      <c r="I51" s="28"/>
      <c r="J51" s="29"/>
      <c r="K51" s="80"/>
      <c r="L51" s="28"/>
      <c r="M51" s="28"/>
      <c r="N51" s="29"/>
      <c r="O51" s="66"/>
      <c r="P51" s="30"/>
      <c r="Q51" s="30"/>
      <c r="R51" s="31"/>
    </row>
    <row r="52" spans="1:18" ht="18.75" customHeight="1" x14ac:dyDescent="0.35">
      <c r="A52" s="145" t="s">
        <v>7</v>
      </c>
      <c r="B52" s="145" t="s">
        <v>8</v>
      </c>
      <c r="C52" s="82">
        <v>18951</v>
      </c>
      <c r="D52" s="20">
        <f>ROUND(C52/18,2)</f>
        <v>1052.83</v>
      </c>
      <c r="E52" s="20"/>
      <c r="F52" s="21">
        <f>SUM(D52,E53:E54)</f>
        <v>1055.25</v>
      </c>
      <c r="G52" s="81">
        <v>19875</v>
      </c>
      <c r="H52" s="20">
        <f>ROUND(G52/18,2)</f>
        <v>1104.17</v>
      </c>
      <c r="I52" s="20"/>
      <c r="J52" s="21">
        <f>SUM(H52,I53:I54)</f>
        <v>1106.5900000000001</v>
      </c>
      <c r="K52" s="82">
        <v>1063</v>
      </c>
      <c r="L52" s="20">
        <f>ROUND(K52/18,2)</f>
        <v>59.06</v>
      </c>
      <c r="M52" s="20"/>
      <c r="N52" s="21">
        <f>SUM(L52,M53:M54)</f>
        <v>59.06</v>
      </c>
      <c r="O52" s="22">
        <f t="shared" si="4"/>
        <v>39889</v>
      </c>
      <c r="P52" s="22">
        <f>ROUND(O52/36,2)</f>
        <v>1108.03</v>
      </c>
      <c r="Q52" s="22"/>
      <c r="R52" s="23">
        <f>SUM(P52,Q53:Q54)</f>
        <v>1110.45</v>
      </c>
    </row>
    <row r="53" spans="1:18" ht="18.75" customHeight="1" x14ac:dyDescent="0.35">
      <c r="A53" s="163"/>
      <c r="B53" s="145" t="s">
        <v>9</v>
      </c>
      <c r="C53" s="82">
        <v>12</v>
      </c>
      <c r="D53" s="20">
        <f>ROUND(C53/12,2)</f>
        <v>1</v>
      </c>
      <c r="E53" s="20">
        <f>D53*1</f>
        <v>1</v>
      </c>
      <c r="F53" s="21"/>
      <c r="G53" s="81">
        <v>12</v>
      </c>
      <c r="H53" s="20">
        <f>ROUND(G53/12,2)</f>
        <v>1</v>
      </c>
      <c r="I53" s="20">
        <f>H53*1</f>
        <v>1</v>
      </c>
      <c r="J53" s="21"/>
      <c r="K53" s="82"/>
      <c r="L53" s="20">
        <f>ROUND(K53/12,2)</f>
        <v>0</v>
      </c>
      <c r="M53" s="20">
        <f>L53*1</f>
        <v>0</v>
      </c>
      <c r="N53" s="21"/>
      <c r="O53" s="22">
        <f t="shared" si="4"/>
        <v>24</v>
      </c>
      <c r="P53" s="22">
        <f t="shared" ref="P53:P54" si="33">ROUND(O53/24,2)</f>
        <v>1</v>
      </c>
      <c r="Q53" s="22">
        <f t="shared" ref="Q53:Q54" si="34">P53*1</f>
        <v>1</v>
      </c>
      <c r="R53" s="23"/>
    </row>
    <row r="54" spans="1:18" ht="18.75" customHeight="1" thickBot="1" x14ac:dyDescent="0.4">
      <c r="A54" s="164"/>
      <c r="B54" s="146" t="s">
        <v>10</v>
      </c>
      <c r="C54" s="84">
        <v>17</v>
      </c>
      <c r="D54" s="24">
        <f>ROUND(C54/12,2)</f>
        <v>1.42</v>
      </c>
      <c r="E54" s="24">
        <f>D54*1</f>
        <v>1.42</v>
      </c>
      <c r="F54" s="25"/>
      <c r="G54" s="83">
        <v>17</v>
      </c>
      <c r="H54" s="24">
        <f>ROUND(G54/12,2)</f>
        <v>1.42</v>
      </c>
      <c r="I54" s="24">
        <f>H54*1</f>
        <v>1.42</v>
      </c>
      <c r="J54" s="25"/>
      <c r="K54" s="84"/>
      <c r="L54" s="24">
        <f>ROUND(K54/12,2)</f>
        <v>0</v>
      </c>
      <c r="M54" s="24">
        <f>L54*1</f>
        <v>0</v>
      </c>
      <c r="N54" s="25"/>
      <c r="O54" s="92">
        <f t="shared" si="4"/>
        <v>34</v>
      </c>
      <c r="P54" s="26">
        <f t="shared" si="33"/>
        <v>1.42</v>
      </c>
      <c r="Q54" s="26">
        <f t="shared" si="34"/>
        <v>1.42</v>
      </c>
      <c r="R54" s="27"/>
    </row>
    <row r="55" spans="1:18" ht="18.75" customHeight="1" x14ac:dyDescent="0.35">
      <c r="A55" s="148" t="s">
        <v>25</v>
      </c>
      <c r="B55" s="149"/>
      <c r="C55" s="80"/>
      <c r="D55" s="28"/>
      <c r="E55" s="28"/>
      <c r="F55" s="29"/>
      <c r="G55" s="79"/>
      <c r="H55" s="28"/>
      <c r="I55" s="28"/>
      <c r="J55" s="29"/>
      <c r="K55" s="80"/>
      <c r="L55" s="28"/>
      <c r="M55" s="28"/>
      <c r="N55" s="29"/>
      <c r="O55" s="30"/>
      <c r="P55" s="30"/>
      <c r="Q55" s="30"/>
      <c r="R55" s="31"/>
    </row>
    <row r="56" spans="1:18" ht="18.75" customHeight="1" x14ac:dyDescent="0.35">
      <c r="A56" s="145" t="s">
        <v>26</v>
      </c>
      <c r="B56" s="145" t="s">
        <v>8</v>
      </c>
      <c r="C56" s="82">
        <v>6710</v>
      </c>
      <c r="D56" s="20">
        <f>ROUND(C56/18,2)</f>
        <v>372.78</v>
      </c>
      <c r="E56" s="20"/>
      <c r="F56" s="21">
        <f>SUM(D56,E57:E58)</f>
        <v>372.78</v>
      </c>
      <c r="G56" s="81">
        <v>4614</v>
      </c>
      <c r="H56" s="20">
        <f>ROUND(G56/18,2)</f>
        <v>256.33</v>
      </c>
      <c r="I56" s="20"/>
      <c r="J56" s="21">
        <f>SUM(H56,I57:I58)</f>
        <v>256.33</v>
      </c>
      <c r="K56" s="82"/>
      <c r="L56" s="20">
        <f>ROUND(K56/18,2)</f>
        <v>0</v>
      </c>
      <c r="M56" s="20"/>
      <c r="N56" s="21">
        <f>SUM(L56,M57:M58)</f>
        <v>0</v>
      </c>
      <c r="O56" s="22">
        <f t="shared" si="4"/>
        <v>11324</v>
      </c>
      <c r="P56" s="22">
        <f>ROUND(O56/36,2)</f>
        <v>314.56</v>
      </c>
      <c r="Q56" s="22"/>
      <c r="R56" s="23">
        <f>SUM(P56,Q57:Q58)</f>
        <v>314.56</v>
      </c>
    </row>
    <row r="57" spans="1:18" ht="18.75" customHeight="1" x14ac:dyDescent="0.35">
      <c r="A57" s="145"/>
      <c r="B57" s="145" t="s">
        <v>9</v>
      </c>
      <c r="C57" s="82"/>
      <c r="D57" s="20">
        <f>ROUND(C57/12,2)</f>
        <v>0</v>
      </c>
      <c r="E57" s="20">
        <f>D57*1.8</f>
        <v>0</v>
      </c>
      <c r="F57" s="21"/>
      <c r="G57" s="81"/>
      <c r="H57" s="20">
        <f>ROUND(G57/12,2)</f>
        <v>0</v>
      </c>
      <c r="I57" s="20">
        <f>H57*1.8</f>
        <v>0</v>
      </c>
      <c r="J57" s="21"/>
      <c r="K57" s="82"/>
      <c r="L57" s="20">
        <f>ROUND(K57/12,2)</f>
        <v>0</v>
      </c>
      <c r="M57" s="20">
        <f>L57*1.8</f>
        <v>0</v>
      </c>
      <c r="N57" s="21"/>
      <c r="O57" s="22">
        <f t="shared" si="4"/>
        <v>0</v>
      </c>
      <c r="P57" s="22">
        <f t="shared" ref="P57:P58" si="35">ROUND(O57/24,2)</f>
        <v>0</v>
      </c>
      <c r="Q57" s="22">
        <f t="shared" ref="Q57:Q58" si="36">P57*1.8</f>
        <v>0</v>
      </c>
      <c r="R57" s="23"/>
    </row>
    <row r="58" spans="1:18" ht="18.75" customHeight="1" x14ac:dyDescent="0.35">
      <c r="A58" s="145"/>
      <c r="B58" s="145" t="s">
        <v>10</v>
      </c>
      <c r="C58" s="82"/>
      <c r="D58" s="20">
        <f>ROUND(C58/12,2)</f>
        <v>0</v>
      </c>
      <c r="E58" s="20">
        <f>D58*1.8</f>
        <v>0</v>
      </c>
      <c r="F58" s="21"/>
      <c r="G58" s="81"/>
      <c r="H58" s="20">
        <f>ROUND(G58/12,2)</f>
        <v>0</v>
      </c>
      <c r="I58" s="20">
        <f>H58*1.8</f>
        <v>0</v>
      </c>
      <c r="J58" s="21"/>
      <c r="K58" s="82"/>
      <c r="L58" s="20">
        <f>ROUND(K58/12,2)</f>
        <v>0</v>
      </c>
      <c r="M58" s="20">
        <f>L58*1.8</f>
        <v>0</v>
      </c>
      <c r="N58" s="21"/>
      <c r="O58" s="22">
        <f t="shared" si="4"/>
        <v>0</v>
      </c>
      <c r="P58" s="22">
        <f t="shared" si="35"/>
        <v>0</v>
      </c>
      <c r="Q58" s="22">
        <f t="shared" si="36"/>
        <v>0</v>
      </c>
      <c r="R58" s="23"/>
    </row>
    <row r="59" spans="1:18" ht="18.75" customHeight="1" x14ac:dyDescent="0.35">
      <c r="A59" s="145" t="s">
        <v>27</v>
      </c>
      <c r="B59" s="145" t="s">
        <v>8</v>
      </c>
      <c r="C59" s="82">
        <v>5736</v>
      </c>
      <c r="D59" s="20">
        <f>ROUND(C59/18,2)</f>
        <v>318.67</v>
      </c>
      <c r="E59" s="20"/>
      <c r="F59" s="21">
        <f>SUM(D59,E60:E61)</f>
        <v>318.67</v>
      </c>
      <c r="G59" s="81">
        <v>6866</v>
      </c>
      <c r="H59" s="20">
        <f>ROUND(G59/18,2)</f>
        <v>381.44</v>
      </c>
      <c r="I59" s="20"/>
      <c r="J59" s="21">
        <f>SUM(H59,I60:I61)</f>
        <v>381.44</v>
      </c>
      <c r="K59" s="82"/>
      <c r="L59" s="20">
        <f>ROUND(K59/18,2)</f>
        <v>0</v>
      </c>
      <c r="M59" s="20"/>
      <c r="N59" s="21">
        <f>SUM(L59,M60:M61)</f>
        <v>0</v>
      </c>
      <c r="O59" s="22">
        <f t="shared" si="4"/>
        <v>12602</v>
      </c>
      <c r="P59" s="22">
        <f>ROUND(O59/36,2)</f>
        <v>350.06</v>
      </c>
      <c r="Q59" s="22"/>
      <c r="R59" s="23">
        <f>SUM(P59,Q60:Q61)</f>
        <v>350.06</v>
      </c>
    </row>
    <row r="60" spans="1:18" ht="18.75" customHeight="1" x14ac:dyDescent="0.35">
      <c r="A60" s="145"/>
      <c r="B60" s="145" t="s">
        <v>9</v>
      </c>
      <c r="C60" s="82"/>
      <c r="D60" s="20">
        <f>ROUND(C60/12,2)</f>
        <v>0</v>
      </c>
      <c r="E60" s="20">
        <f>D60*1.8</f>
        <v>0</v>
      </c>
      <c r="F60" s="21"/>
      <c r="G60" s="81"/>
      <c r="H60" s="20">
        <f>ROUND(G60/12,2)</f>
        <v>0</v>
      </c>
      <c r="I60" s="20">
        <f>H60*1.8</f>
        <v>0</v>
      </c>
      <c r="J60" s="21"/>
      <c r="K60" s="82"/>
      <c r="L60" s="20">
        <f>ROUND(K60/12,2)</f>
        <v>0</v>
      </c>
      <c r="M60" s="20">
        <f>L60*1.8</f>
        <v>0</v>
      </c>
      <c r="N60" s="21"/>
      <c r="O60" s="22">
        <f t="shared" si="4"/>
        <v>0</v>
      </c>
      <c r="P60" s="22">
        <f t="shared" ref="P60:P61" si="37">ROUND(O60/24,2)</f>
        <v>0</v>
      </c>
      <c r="Q60" s="22">
        <f t="shared" ref="Q60:Q61" si="38">P60*1.8</f>
        <v>0</v>
      </c>
      <c r="R60" s="23"/>
    </row>
    <row r="61" spans="1:18" ht="18.75" customHeight="1" x14ac:dyDescent="0.35">
      <c r="A61" s="145"/>
      <c r="B61" s="145" t="s">
        <v>10</v>
      </c>
      <c r="C61" s="82"/>
      <c r="D61" s="20">
        <f>ROUND(C61/12,2)</f>
        <v>0</v>
      </c>
      <c r="E61" s="20">
        <f>D61*1.8</f>
        <v>0</v>
      </c>
      <c r="F61" s="21"/>
      <c r="G61" s="81"/>
      <c r="H61" s="20">
        <f>ROUND(G61/12,2)</f>
        <v>0</v>
      </c>
      <c r="I61" s="20">
        <f>H61*1.8</f>
        <v>0</v>
      </c>
      <c r="J61" s="21"/>
      <c r="K61" s="82"/>
      <c r="L61" s="20">
        <f>ROUND(K61/12,2)</f>
        <v>0</v>
      </c>
      <c r="M61" s="20">
        <f>L61*1.8</f>
        <v>0</v>
      </c>
      <c r="N61" s="21"/>
      <c r="O61" s="22">
        <f t="shared" si="4"/>
        <v>0</v>
      </c>
      <c r="P61" s="22">
        <f t="shared" si="37"/>
        <v>0</v>
      </c>
      <c r="Q61" s="22">
        <f t="shared" si="38"/>
        <v>0</v>
      </c>
      <c r="R61" s="23"/>
    </row>
    <row r="62" spans="1:18" ht="18.75" customHeight="1" x14ac:dyDescent="0.35">
      <c r="A62" s="145" t="s">
        <v>28</v>
      </c>
      <c r="B62" s="145" t="s">
        <v>8</v>
      </c>
      <c r="C62" s="82">
        <v>5529</v>
      </c>
      <c r="D62" s="20">
        <f>ROUND(C62/18,2)</f>
        <v>307.17</v>
      </c>
      <c r="E62" s="20"/>
      <c r="F62" s="21">
        <f>SUM(D62,E63:E64)</f>
        <v>307.17</v>
      </c>
      <c r="G62" s="81">
        <v>4961</v>
      </c>
      <c r="H62" s="20">
        <f>ROUND(G62/18,2)</f>
        <v>275.61</v>
      </c>
      <c r="I62" s="20"/>
      <c r="J62" s="21">
        <f>SUM(H62,I63:I64)</f>
        <v>275.61</v>
      </c>
      <c r="K62" s="82">
        <v>120</v>
      </c>
      <c r="L62" s="20">
        <f>ROUND(K62/18,2)</f>
        <v>6.67</v>
      </c>
      <c r="M62" s="20"/>
      <c r="N62" s="21">
        <f>SUM(L62,M63:M64)</f>
        <v>6.67</v>
      </c>
      <c r="O62" s="22">
        <f t="shared" si="4"/>
        <v>10610</v>
      </c>
      <c r="P62" s="22">
        <f>ROUND(O62/36,2)</f>
        <v>294.72000000000003</v>
      </c>
      <c r="Q62" s="22"/>
      <c r="R62" s="23">
        <f>SUM(P62,Q63:Q64)</f>
        <v>294.72000000000003</v>
      </c>
    </row>
    <row r="63" spans="1:18" ht="18.75" customHeight="1" x14ac:dyDescent="0.35">
      <c r="A63" s="145"/>
      <c r="B63" s="145" t="s">
        <v>9</v>
      </c>
      <c r="C63" s="82"/>
      <c r="D63" s="20">
        <f>ROUND(C63/12,2)</f>
        <v>0</v>
      </c>
      <c r="E63" s="20">
        <f>D63*1.8</f>
        <v>0</v>
      </c>
      <c r="F63" s="21"/>
      <c r="G63" s="81"/>
      <c r="H63" s="20">
        <f>ROUND(G63/12,2)</f>
        <v>0</v>
      </c>
      <c r="I63" s="20">
        <f>H63*1.8</f>
        <v>0</v>
      </c>
      <c r="J63" s="21"/>
      <c r="K63" s="82"/>
      <c r="L63" s="20">
        <f>ROUND(K63/12,2)</f>
        <v>0</v>
      </c>
      <c r="M63" s="20">
        <f>L63*1.8</f>
        <v>0</v>
      </c>
      <c r="N63" s="21"/>
      <c r="O63" s="22">
        <f t="shared" si="4"/>
        <v>0</v>
      </c>
      <c r="P63" s="22">
        <f t="shared" ref="P63:P64" si="39">ROUND(O63/24,2)</f>
        <v>0</v>
      </c>
      <c r="Q63" s="22">
        <f t="shared" ref="Q63:Q64" si="40">P63*1.8</f>
        <v>0</v>
      </c>
      <c r="R63" s="23"/>
    </row>
    <row r="64" spans="1:18" ht="18.75" customHeight="1" x14ac:dyDescent="0.35">
      <c r="A64" s="145"/>
      <c r="B64" s="145" t="s">
        <v>10</v>
      </c>
      <c r="C64" s="82"/>
      <c r="D64" s="20">
        <f>ROUND(C64/12,2)</f>
        <v>0</v>
      </c>
      <c r="E64" s="20">
        <f>D64*1.8</f>
        <v>0</v>
      </c>
      <c r="F64" s="21"/>
      <c r="G64" s="81"/>
      <c r="H64" s="20">
        <f>ROUND(G64/12,2)</f>
        <v>0</v>
      </c>
      <c r="I64" s="20">
        <f>H64*1.8</f>
        <v>0</v>
      </c>
      <c r="J64" s="21"/>
      <c r="K64" s="82"/>
      <c r="L64" s="20">
        <f>ROUND(K64/12,2)</f>
        <v>0</v>
      </c>
      <c r="M64" s="20">
        <f>L64*1.8</f>
        <v>0</v>
      </c>
      <c r="N64" s="21"/>
      <c r="O64" s="22">
        <f t="shared" si="4"/>
        <v>0</v>
      </c>
      <c r="P64" s="22">
        <f t="shared" si="39"/>
        <v>0</v>
      </c>
      <c r="Q64" s="22">
        <f t="shared" si="40"/>
        <v>0</v>
      </c>
      <c r="R64" s="23"/>
    </row>
    <row r="65" spans="1:18" ht="18.75" customHeight="1" x14ac:dyDescent="0.35">
      <c r="A65" s="145" t="s">
        <v>29</v>
      </c>
      <c r="B65" s="145" t="s">
        <v>8</v>
      </c>
      <c r="C65" s="82">
        <v>6151</v>
      </c>
      <c r="D65" s="20">
        <f>ROUND(C65/18,2)</f>
        <v>341.72</v>
      </c>
      <c r="E65" s="20"/>
      <c r="F65" s="21">
        <f>SUM(D65,E66:E67)</f>
        <v>341.72</v>
      </c>
      <c r="G65" s="81">
        <v>5979</v>
      </c>
      <c r="H65" s="20">
        <f>ROUND(G65/18,2)</f>
        <v>332.17</v>
      </c>
      <c r="I65" s="20"/>
      <c r="J65" s="21">
        <f>SUM(H65,I66:I67)</f>
        <v>332.17</v>
      </c>
      <c r="K65" s="82">
        <v>21</v>
      </c>
      <c r="L65" s="20">
        <f>ROUND(K65/18,2)</f>
        <v>1.17</v>
      </c>
      <c r="M65" s="20"/>
      <c r="N65" s="21">
        <f>SUM(L65,M66:M67)</f>
        <v>1.17</v>
      </c>
      <c r="O65" s="22">
        <f t="shared" si="4"/>
        <v>12151</v>
      </c>
      <c r="P65" s="22">
        <f>ROUND(O65/36,2)</f>
        <v>337.53</v>
      </c>
      <c r="Q65" s="22"/>
      <c r="R65" s="23">
        <f>SUM(P65,Q66:Q67)</f>
        <v>337.53</v>
      </c>
    </row>
    <row r="66" spans="1:18" ht="18.75" customHeight="1" x14ac:dyDescent="0.35">
      <c r="A66" s="145"/>
      <c r="B66" s="145" t="s">
        <v>9</v>
      </c>
      <c r="C66" s="82"/>
      <c r="D66" s="20">
        <f>ROUND(C66/12,2)</f>
        <v>0</v>
      </c>
      <c r="E66" s="20">
        <f>D66*1.8</f>
        <v>0</v>
      </c>
      <c r="F66" s="21"/>
      <c r="G66" s="81"/>
      <c r="H66" s="20">
        <f>ROUND(G66/12,2)</f>
        <v>0</v>
      </c>
      <c r="I66" s="20">
        <f>H66*1.8</f>
        <v>0</v>
      </c>
      <c r="J66" s="21"/>
      <c r="K66" s="82"/>
      <c r="L66" s="20">
        <f>ROUND(K66/12,2)</f>
        <v>0</v>
      </c>
      <c r="M66" s="20">
        <f>L66*1.8</f>
        <v>0</v>
      </c>
      <c r="N66" s="21"/>
      <c r="O66" s="22">
        <f t="shared" si="4"/>
        <v>0</v>
      </c>
      <c r="P66" s="22">
        <f t="shared" ref="P66:P67" si="41">ROUND(O66/24,2)</f>
        <v>0</v>
      </c>
      <c r="Q66" s="22">
        <f t="shared" ref="Q66:Q67" si="42">P66*1.8</f>
        <v>0</v>
      </c>
      <c r="R66" s="23"/>
    </row>
    <row r="67" spans="1:18" ht="18.75" customHeight="1" x14ac:dyDescent="0.35">
      <c r="A67" s="145"/>
      <c r="B67" s="145" t="s">
        <v>10</v>
      </c>
      <c r="C67" s="82"/>
      <c r="D67" s="20">
        <f>ROUND(C67/12,2)</f>
        <v>0</v>
      </c>
      <c r="E67" s="20">
        <f>D67*1.8</f>
        <v>0</v>
      </c>
      <c r="F67" s="21"/>
      <c r="G67" s="81"/>
      <c r="H67" s="20">
        <f>ROUND(G67/12,2)</f>
        <v>0</v>
      </c>
      <c r="I67" s="20">
        <f>H67*1.8</f>
        <v>0</v>
      </c>
      <c r="J67" s="21"/>
      <c r="K67" s="82"/>
      <c r="L67" s="20">
        <f>ROUND(K67/12,2)</f>
        <v>0</v>
      </c>
      <c r="M67" s="20">
        <f>L67*1.8</f>
        <v>0</v>
      </c>
      <c r="N67" s="21"/>
      <c r="O67" s="22">
        <f t="shared" si="4"/>
        <v>0</v>
      </c>
      <c r="P67" s="22">
        <f t="shared" si="41"/>
        <v>0</v>
      </c>
      <c r="Q67" s="22">
        <f t="shared" si="42"/>
        <v>0</v>
      </c>
      <c r="R67" s="23"/>
    </row>
    <row r="68" spans="1:18" ht="18.75" customHeight="1" x14ac:dyDescent="0.35">
      <c r="A68" s="145" t="s">
        <v>30</v>
      </c>
      <c r="B68" s="145" t="s">
        <v>8</v>
      </c>
      <c r="C68" s="82">
        <v>5627</v>
      </c>
      <c r="D68" s="20">
        <f>ROUND(C68/18,2)</f>
        <v>312.61</v>
      </c>
      <c r="E68" s="20"/>
      <c r="F68" s="21">
        <f>SUM(D68,E69:E70)</f>
        <v>312.61</v>
      </c>
      <c r="G68" s="81">
        <v>5594</v>
      </c>
      <c r="H68" s="20">
        <f>ROUND(G68/18,2)</f>
        <v>310.77999999999997</v>
      </c>
      <c r="I68" s="20"/>
      <c r="J68" s="21">
        <f>SUM(H68,I69:I70)</f>
        <v>310.77999999999997</v>
      </c>
      <c r="K68" s="82"/>
      <c r="L68" s="20">
        <f>ROUND(K68/18,2)</f>
        <v>0</v>
      </c>
      <c r="M68" s="20"/>
      <c r="N68" s="21">
        <f>SUM(L68,M69:M70)</f>
        <v>0</v>
      </c>
      <c r="O68" s="22">
        <f t="shared" si="4"/>
        <v>11221</v>
      </c>
      <c r="P68" s="22">
        <f>ROUND(O68/36,2)</f>
        <v>311.69</v>
      </c>
      <c r="Q68" s="22"/>
      <c r="R68" s="23">
        <f>SUM(P68,Q69:Q70)</f>
        <v>311.69</v>
      </c>
    </row>
    <row r="69" spans="1:18" ht="18.75" customHeight="1" x14ac:dyDescent="0.35">
      <c r="A69" s="145"/>
      <c r="B69" s="145" t="s">
        <v>9</v>
      </c>
      <c r="C69" s="82"/>
      <c r="D69" s="20">
        <f>ROUND(C69/12,2)</f>
        <v>0</v>
      </c>
      <c r="E69" s="20">
        <f>D69*1.8</f>
        <v>0</v>
      </c>
      <c r="F69" s="21"/>
      <c r="G69" s="81"/>
      <c r="H69" s="20">
        <f>ROUND(G69/12,2)</f>
        <v>0</v>
      </c>
      <c r="I69" s="20">
        <f>H69*1.8</f>
        <v>0</v>
      </c>
      <c r="J69" s="21"/>
      <c r="K69" s="82"/>
      <c r="L69" s="20">
        <f>ROUND(K69/12,2)</f>
        <v>0</v>
      </c>
      <c r="M69" s="20">
        <f>L69*1.8</f>
        <v>0</v>
      </c>
      <c r="N69" s="21"/>
      <c r="O69" s="22">
        <f t="shared" si="4"/>
        <v>0</v>
      </c>
      <c r="P69" s="22">
        <f t="shared" ref="P69:P70" si="43">ROUND(O69/24,2)</f>
        <v>0</v>
      </c>
      <c r="Q69" s="22">
        <f t="shared" ref="Q69:Q70" si="44">P69*1.8</f>
        <v>0</v>
      </c>
      <c r="R69" s="23"/>
    </row>
    <row r="70" spans="1:18" ht="18.75" customHeight="1" x14ac:dyDescent="0.35">
      <c r="A70" s="145"/>
      <c r="B70" s="145" t="s">
        <v>10</v>
      </c>
      <c r="C70" s="82"/>
      <c r="D70" s="20">
        <f>ROUND(C70/12,2)</f>
        <v>0</v>
      </c>
      <c r="E70" s="20">
        <f>D70*1.8</f>
        <v>0</v>
      </c>
      <c r="F70" s="21"/>
      <c r="G70" s="81"/>
      <c r="H70" s="20">
        <f>ROUND(G70/12,2)</f>
        <v>0</v>
      </c>
      <c r="I70" s="20">
        <f>H70*1.8</f>
        <v>0</v>
      </c>
      <c r="J70" s="21"/>
      <c r="K70" s="82"/>
      <c r="L70" s="20">
        <f>ROUND(K70/12,2)</f>
        <v>0</v>
      </c>
      <c r="M70" s="20">
        <f>L70*1.8</f>
        <v>0</v>
      </c>
      <c r="N70" s="21"/>
      <c r="O70" s="22">
        <f t="shared" si="4"/>
        <v>0</v>
      </c>
      <c r="P70" s="22">
        <f t="shared" si="43"/>
        <v>0</v>
      </c>
      <c r="Q70" s="22">
        <f t="shared" si="44"/>
        <v>0</v>
      </c>
      <c r="R70" s="23"/>
    </row>
    <row r="71" spans="1:18" ht="18.75" customHeight="1" x14ac:dyDescent="0.35">
      <c r="A71" s="145" t="s">
        <v>31</v>
      </c>
      <c r="B71" s="145" t="s">
        <v>8</v>
      </c>
      <c r="C71" s="82">
        <v>9281</v>
      </c>
      <c r="D71" s="20">
        <f>ROUND(C71/18,2)</f>
        <v>515.61</v>
      </c>
      <c r="E71" s="20"/>
      <c r="F71" s="21">
        <f>SUM(D71,E72:E73)</f>
        <v>515.61</v>
      </c>
      <c r="G71" s="81">
        <v>7485</v>
      </c>
      <c r="H71" s="20">
        <f>ROUND(G71/18,2)</f>
        <v>415.83</v>
      </c>
      <c r="I71" s="20"/>
      <c r="J71" s="21">
        <f>SUM(H71,I72:I73)</f>
        <v>415.83</v>
      </c>
      <c r="K71" s="82">
        <v>186</v>
      </c>
      <c r="L71" s="20">
        <f>ROUND(K71/18,2)</f>
        <v>10.33</v>
      </c>
      <c r="M71" s="20"/>
      <c r="N71" s="21">
        <f>SUM(L71,M72:M73)</f>
        <v>10.33</v>
      </c>
      <c r="O71" s="22">
        <f t="shared" si="4"/>
        <v>16952</v>
      </c>
      <c r="P71" s="22">
        <f>ROUND(O71/36,2)</f>
        <v>470.89</v>
      </c>
      <c r="Q71" s="22"/>
      <c r="R71" s="23">
        <f>SUM(P71,Q72:Q73)</f>
        <v>470.89</v>
      </c>
    </row>
    <row r="72" spans="1:18" ht="18.75" customHeight="1" x14ac:dyDescent="0.35">
      <c r="A72" s="145"/>
      <c r="B72" s="145" t="s">
        <v>9</v>
      </c>
      <c r="C72" s="82"/>
      <c r="D72" s="20">
        <f>ROUND(C72/12,2)</f>
        <v>0</v>
      </c>
      <c r="E72" s="20">
        <f>D72*1.8</f>
        <v>0</v>
      </c>
      <c r="F72" s="21"/>
      <c r="G72" s="81"/>
      <c r="H72" s="20">
        <f>ROUND(G72/12,2)</f>
        <v>0</v>
      </c>
      <c r="I72" s="20">
        <f>H72*1.8</f>
        <v>0</v>
      </c>
      <c r="J72" s="21"/>
      <c r="K72" s="82"/>
      <c r="L72" s="20">
        <f>ROUND(K72/12,2)</f>
        <v>0</v>
      </c>
      <c r="M72" s="20">
        <f>L72*1.8</f>
        <v>0</v>
      </c>
      <c r="N72" s="21"/>
      <c r="O72" s="22">
        <f t="shared" si="4"/>
        <v>0</v>
      </c>
      <c r="P72" s="22">
        <f t="shared" ref="P72:P73" si="45">ROUND(O72/24,2)</f>
        <v>0</v>
      </c>
      <c r="Q72" s="22">
        <f t="shared" ref="Q72:Q73" si="46">P72*1.8</f>
        <v>0</v>
      </c>
      <c r="R72" s="23"/>
    </row>
    <row r="73" spans="1:18" ht="18.75" customHeight="1" x14ac:dyDescent="0.35">
      <c r="A73" s="145"/>
      <c r="B73" s="145" t="s">
        <v>10</v>
      </c>
      <c r="C73" s="82"/>
      <c r="D73" s="20">
        <f>ROUND(C73/12,2)</f>
        <v>0</v>
      </c>
      <c r="E73" s="20">
        <f>D73*1.8</f>
        <v>0</v>
      </c>
      <c r="F73" s="21"/>
      <c r="G73" s="81"/>
      <c r="H73" s="20">
        <f>ROUND(G73/12,2)</f>
        <v>0</v>
      </c>
      <c r="I73" s="20">
        <f>H73*1.8</f>
        <v>0</v>
      </c>
      <c r="J73" s="21"/>
      <c r="K73" s="82"/>
      <c r="L73" s="20">
        <f>ROUND(K73/12,2)</f>
        <v>0</v>
      </c>
      <c r="M73" s="20">
        <f>L73*1.8</f>
        <v>0</v>
      </c>
      <c r="N73" s="21"/>
      <c r="O73" s="22">
        <f t="shared" si="4"/>
        <v>0</v>
      </c>
      <c r="P73" s="22">
        <f t="shared" si="45"/>
        <v>0</v>
      </c>
      <c r="Q73" s="22">
        <f t="shared" si="46"/>
        <v>0</v>
      </c>
      <c r="R73" s="23"/>
    </row>
    <row r="74" spans="1:18" ht="18.75" customHeight="1" x14ac:dyDescent="0.35">
      <c r="A74" s="145" t="s">
        <v>32</v>
      </c>
      <c r="B74" s="145" t="s">
        <v>8</v>
      </c>
      <c r="C74" s="82">
        <v>0</v>
      </c>
      <c r="D74" s="20">
        <f>ROUND(C74/18,2)</f>
        <v>0</v>
      </c>
      <c r="E74" s="20"/>
      <c r="F74" s="21">
        <f>SUM(D74,E75:E76)</f>
        <v>13.95</v>
      </c>
      <c r="G74" s="81"/>
      <c r="H74" s="20">
        <f>ROUND(G74/18,2)</f>
        <v>0</v>
      </c>
      <c r="I74" s="20"/>
      <c r="J74" s="21">
        <f>SUM(H74,I75:I76)</f>
        <v>14.4</v>
      </c>
      <c r="K74" s="82"/>
      <c r="L74" s="20">
        <f>ROUND(K74/18,2)</f>
        <v>0</v>
      </c>
      <c r="M74" s="20"/>
      <c r="N74" s="21">
        <f>SUM(L74,M75:M76)</f>
        <v>0</v>
      </c>
      <c r="O74" s="22">
        <f t="shared" si="4"/>
        <v>0</v>
      </c>
      <c r="P74" s="22">
        <f>ROUND(O74/36,2)</f>
        <v>0</v>
      </c>
      <c r="Q74" s="22"/>
      <c r="R74" s="23">
        <f>SUM(P74,Q75:Q76)</f>
        <v>14.184000000000001</v>
      </c>
    </row>
    <row r="75" spans="1:18" ht="18.75" customHeight="1" x14ac:dyDescent="0.35">
      <c r="A75" s="145"/>
      <c r="B75" s="145" t="s">
        <v>9</v>
      </c>
      <c r="C75" s="82">
        <v>39</v>
      </c>
      <c r="D75" s="20">
        <f>ROUND(C75/12,2)</f>
        <v>3.25</v>
      </c>
      <c r="E75" s="20">
        <f>D75*1.8</f>
        <v>5.8500000000000005</v>
      </c>
      <c r="F75" s="21"/>
      <c r="G75" s="81">
        <v>36</v>
      </c>
      <c r="H75" s="20">
        <f>ROUND(G75/12,2)</f>
        <v>3</v>
      </c>
      <c r="I75" s="20">
        <f>H75*1.8</f>
        <v>5.4</v>
      </c>
      <c r="J75" s="21"/>
      <c r="K75" s="82"/>
      <c r="L75" s="20">
        <f>ROUND(K75/12,2)</f>
        <v>0</v>
      </c>
      <c r="M75" s="20">
        <f>L75*1.8</f>
        <v>0</v>
      </c>
      <c r="N75" s="21"/>
      <c r="O75" s="22">
        <f t="shared" si="4"/>
        <v>75</v>
      </c>
      <c r="P75" s="22">
        <f t="shared" ref="P75:P76" si="47">ROUND(O75/24,2)</f>
        <v>3.13</v>
      </c>
      <c r="Q75" s="22">
        <f t="shared" ref="Q75:Q76" si="48">P75*1.8</f>
        <v>5.6340000000000003</v>
      </c>
      <c r="R75" s="23"/>
    </row>
    <row r="76" spans="1:18" ht="18.75" customHeight="1" x14ac:dyDescent="0.35">
      <c r="A76" s="145"/>
      <c r="B76" s="145" t="s">
        <v>10</v>
      </c>
      <c r="C76" s="82">
        <v>54</v>
      </c>
      <c r="D76" s="20">
        <f>ROUND(C76/12,2)</f>
        <v>4.5</v>
      </c>
      <c r="E76" s="20">
        <f>D76*1.8</f>
        <v>8.1</v>
      </c>
      <c r="F76" s="21"/>
      <c r="G76" s="81">
        <v>60</v>
      </c>
      <c r="H76" s="20">
        <f>ROUND(G76/12,2)</f>
        <v>5</v>
      </c>
      <c r="I76" s="20">
        <f>H76*1.8</f>
        <v>9</v>
      </c>
      <c r="J76" s="21"/>
      <c r="K76" s="82"/>
      <c r="L76" s="20">
        <f>ROUND(K76/12,2)</f>
        <v>0</v>
      </c>
      <c r="M76" s="20">
        <f>L76*1.8</f>
        <v>0</v>
      </c>
      <c r="N76" s="21"/>
      <c r="O76" s="22">
        <f t="shared" si="4"/>
        <v>114</v>
      </c>
      <c r="P76" s="22">
        <f t="shared" si="47"/>
        <v>4.75</v>
      </c>
      <c r="Q76" s="22">
        <f t="shared" si="48"/>
        <v>8.5500000000000007</v>
      </c>
      <c r="R76" s="23"/>
    </row>
    <row r="77" spans="1:18" ht="18.75" customHeight="1" x14ac:dyDescent="0.35">
      <c r="A77" s="145" t="s">
        <v>33</v>
      </c>
      <c r="B77" s="145" t="s">
        <v>8</v>
      </c>
      <c r="C77" s="82">
        <v>7068</v>
      </c>
      <c r="D77" s="20">
        <f>ROUND(C77/18,2)</f>
        <v>392.67</v>
      </c>
      <c r="E77" s="20"/>
      <c r="F77" s="21">
        <f>SUM(D77,E78:E79)</f>
        <v>392.67</v>
      </c>
      <c r="G77" s="81">
        <v>5181</v>
      </c>
      <c r="H77" s="20">
        <f>ROUND(G77/18,2)</f>
        <v>287.83</v>
      </c>
      <c r="I77" s="20"/>
      <c r="J77" s="21">
        <f>SUM(H77,I78:I79)</f>
        <v>287.83</v>
      </c>
      <c r="K77" s="82"/>
      <c r="L77" s="20">
        <f>ROUND(K77/18,2)</f>
        <v>0</v>
      </c>
      <c r="M77" s="20"/>
      <c r="N77" s="21">
        <f>SUM(L77,M78:M79)</f>
        <v>0</v>
      </c>
      <c r="O77" s="22">
        <f t="shared" si="4"/>
        <v>12249</v>
      </c>
      <c r="P77" s="22">
        <f>ROUND(O77/36,2)</f>
        <v>340.25</v>
      </c>
      <c r="Q77" s="22"/>
      <c r="R77" s="23">
        <f>SUM(P77,Q78:Q79)</f>
        <v>340.25</v>
      </c>
    </row>
    <row r="78" spans="1:18" ht="18.75" customHeight="1" x14ac:dyDescent="0.35">
      <c r="A78" s="145"/>
      <c r="B78" s="145" t="s">
        <v>9</v>
      </c>
      <c r="C78" s="82"/>
      <c r="D78" s="20">
        <f>ROUND(C78/12,2)</f>
        <v>0</v>
      </c>
      <c r="E78" s="20">
        <f>D78*1.8</f>
        <v>0</v>
      </c>
      <c r="F78" s="21"/>
      <c r="G78" s="81"/>
      <c r="H78" s="20">
        <f>ROUND(G78/12,2)</f>
        <v>0</v>
      </c>
      <c r="I78" s="20">
        <f>H78*1.8</f>
        <v>0</v>
      </c>
      <c r="J78" s="21"/>
      <c r="K78" s="82"/>
      <c r="L78" s="20">
        <f>ROUND(K78/12,2)</f>
        <v>0</v>
      </c>
      <c r="M78" s="20">
        <f>L78*1.8</f>
        <v>0</v>
      </c>
      <c r="N78" s="21"/>
      <c r="O78" s="22">
        <f t="shared" si="4"/>
        <v>0</v>
      </c>
      <c r="P78" s="22">
        <f t="shared" ref="P78:P79" si="49">ROUND(O78/24,2)</f>
        <v>0</v>
      </c>
      <c r="Q78" s="22">
        <f t="shared" ref="Q78:Q79" si="50">P78*1.8</f>
        <v>0</v>
      </c>
      <c r="R78" s="23"/>
    </row>
    <row r="79" spans="1:18" ht="18.75" customHeight="1" x14ac:dyDescent="0.35">
      <c r="A79" s="145"/>
      <c r="B79" s="145" t="s">
        <v>10</v>
      </c>
      <c r="C79" s="82"/>
      <c r="D79" s="20">
        <f>ROUND(C79/12,2)</f>
        <v>0</v>
      </c>
      <c r="E79" s="20">
        <f>D79*1.8</f>
        <v>0</v>
      </c>
      <c r="F79" s="21"/>
      <c r="G79" s="81"/>
      <c r="H79" s="20">
        <f>ROUND(G79/12,2)</f>
        <v>0</v>
      </c>
      <c r="I79" s="20">
        <f>H79*1.8</f>
        <v>0</v>
      </c>
      <c r="J79" s="21"/>
      <c r="K79" s="82"/>
      <c r="L79" s="20">
        <f>ROUND(K79/12,2)</f>
        <v>0</v>
      </c>
      <c r="M79" s="20">
        <f>L79*1.8</f>
        <v>0</v>
      </c>
      <c r="N79" s="21"/>
      <c r="O79" s="22">
        <f t="shared" si="4"/>
        <v>0</v>
      </c>
      <c r="P79" s="22">
        <f t="shared" si="49"/>
        <v>0</v>
      </c>
      <c r="Q79" s="22">
        <f t="shared" si="50"/>
        <v>0</v>
      </c>
      <c r="R79" s="23"/>
    </row>
    <row r="80" spans="1:18" ht="18.75" customHeight="1" x14ac:dyDescent="0.35">
      <c r="A80" s="145" t="s">
        <v>34</v>
      </c>
      <c r="B80" s="145" t="s">
        <v>8</v>
      </c>
      <c r="C80" s="82">
        <v>3624</v>
      </c>
      <c r="D80" s="20">
        <f>ROUND(C80/18,2)</f>
        <v>201.33</v>
      </c>
      <c r="E80" s="20"/>
      <c r="F80" s="21">
        <f>SUM(D80,E81:E82)</f>
        <v>201.33</v>
      </c>
      <c r="G80" s="81">
        <v>3995</v>
      </c>
      <c r="H80" s="20">
        <f>ROUND(G80/18,2)</f>
        <v>221.94</v>
      </c>
      <c r="I80" s="20"/>
      <c r="J80" s="21">
        <f>SUM(H80,I81:I82)</f>
        <v>221.94</v>
      </c>
      <c r="K80" s="82"/>
      <c r="L80" s="20">
        <f>ROUND(K80/18,2)</f>
        <v>0</v>
      </c>
      <c r="M80" s="20"/>
      <c r="N80" s="21">
        <f>SUM(L80,M81:M82)</f>
        <v>0</v>
      </c>
      <c r="O80" s="22">
        <f t="shared" si="4"/>
        <v>7619</v>
      </c>
      <c r="P80" s="22">
        <f>ROUND(O80/36,2)</f>
        <v>211.64</v>
      </c>
      <c r="Q80" s="22"/>
      <c r="R80" s="23">
        <f>SUM(P80,Q81:Q82)</f>
        <v>211.64</v>
      </c>
    </row>
    <row r="81" spans="1:18" ht="18.75" customHeight="1" x14ac:dyDescent="0.35">
      <c r="A81" s="145"/>
      <c r="B81" s="145" t="s">
        <v>9</v>
      </c>
      <c r="C81" s="82"/>
      <c r="D81" s="20">
        <f>ROUND(C81/12,2)</f>
        <v>0</v>
      </c>
      <c r="E81" s="20">
        <f>D81*1.8</f>
        <v>0</v>
      </c>
      <c r="F81" s="21"/>
      <c r="G81" s="81"/>
      <c r="H81" s="20">
        <f>ROUND(G81/12,2)</f>
        <v>0</v>
      </c>
      <c r="I81" s="20">
        <f>H81*1.8</f>
        <v>0</v>
      </c>
      <c r="J81" s="21"/>
      <c r="K81" s="82"/>
      <c r="L81" s="20">
        <f>ROUND(K81/12,2)</f>
        <v>0</v>
      </c>
      <c r="M81" s="20">
        <f>L81*1.8</f>
        <v>0</v>
      </c>
      <c r="N81" s="21"/>
      <c r="O81" s="22">
        <f t="shared" ref="O81:O144" si="51">SUMIF($C$3:$N$3,"SCH",C81:N81)</f>
        <v>0</v>
      </c>
      <c r="P81" s="22">
        <f t="shared" ref="P81:P82" si="52">ROUND(O81/24,2)</f>
        <v>0</v>
      </c>
      <c r="Q81" s="22">
        <f t="shared" ref="Q81:Q82" si="53">P81*1.8</f>
        <v>0</v>
      </c>
      <c r="R81" s="23"/>
    </row>
    <row r="82" spans="1:18" ht="18.75" customHeight="1" x14ac:dyDescent="0.35">
      <c r="A82" s="145"/>
      <c r="B82" s="145" t="s">
        <v>10</v>
      </c>
      <c r="C82" s="82"/>
      <c r="D82" s="20">
        <f>ROUND(C82/12,2)</f>
        <v>0</v>
      </c>
      <c r="E82" s="20">
        <f>D82*1.8</f>
        <v>0</v>
      </c>
      <c r="F82" s="21"/>
      <c r="G82" s="81"/>
      <c r="H82" s="20">
        <f>ROUND(G82/12,2)</f>
        <v>0</v>
      </c>
      <c r="I82" s="20">
        <f>H82*1.8</f>
        <v>0</v>
      </c>
      <c r="J82" s="21"/>
      <c r="K82" s="82"/>
      <c r="L82" s="20">
        <f>ROUND(K82/12,2)</f>
        <v>0</v>
      </c>
      <c r="M82" s="20">
        <f>L82*1.8</f>
        <v>0</v>
      </c>
      <c r="N82" s="21"/>
      <c r="O82" s="22">
        <f t="shared" si="51"/>
        <v>0</v>
      </c>
      <c r="P82" s="22">
        <f t="shared" si="52"/>
        <v>0</v>
      </c>
      <c r="Q82" s="22">
        <f t="shared" si="53"/>
        <v>0</v>
      </c>
      <c r="R82" s="23"/>
    </row>
    <row r="83" spans="1:18" ht="18.75" customHeight="1" x14ac:dyDescent="0.35">
      <c r="A83" s="145" t="s">
        <v>35</v>
      </c>
      <c r="B83" s="145" t="s">
        <v>8</v>
      </c>
      <c r="C83" s="82">
        <v>8380</v>
      </c>
      <c r="D83" s="20">
        <f>ROUND(C83/18,2)</f>
        <v>465.56</v>
      </c>
      <c r="E83" s="20"/>
      <c r="F83" s="21">
        <f>SUM(D83,E84:E85)</f>
        <v>465.56</v>
      </c>
      <c r="G83" s="81">
        <v>5302</v>
      </c>
      <c r="H83" s="20">
        <f>ROUND(G83/18,2)</f>
        <v>294.56</v>
      </c>
      <c r="I83" s="20"/>
      <c r="J83" s="21">
        <f>SUM(H83,I84:I85)</f>
        <v>294.56</v>
      </c>
      <c r="K83" s="82"/>
      <c r="L83" s="20">
        <f>ROUND(K83/18,2)</f>
        <v>0</v>
      </c>
      <c r="M83" s="20"/>
      <c r="N83" s="21">
        <f>SUM(L83,M84:M85)</f>
        <v>0</v>
      </c>
      <c r="O83" s="22">
        <f t="shared" si="51"/>
        <v>13682</v>
      </c>
      <c r="P83" s="22">
        <f>ROUND(O83/36,2)</f>
        <v>380.06</v>
      </c>
      <c r="Q83" s="22"/>
      <c r="R83" s="23">
        <f>SUM(P83,Q84:Q85)</f>
        <v>380.06</v>
      </c>
    </row>
    <row r="84" spans="1:18" ht="18.75" customHeight="1" x14ac:dyDescent="0.35">
      <c r="A84" s="145"/>
      <c r="B84" s="145" t="s">
        <v>9</v>
      </c>
      <c r="C84" s="82"/>
      <c r="D84" s="20">
        <f>ROUND(C84/12,2)</f>
        <v>0</v>
      </c>
      <c r="E84" s="20">
        <f>D84*1.8</f>
        <v>0</v>
      </c>
      <c r="F84" s="21"/>
      <c r="G84" s="81"/>
      <c r="H84" s="20">
        <f>ROUND(G84/12,2)</f>
        <v>0</v>
      </c>
      <c r="I84" s="20">
        <f>H84*1.8</f>
        <v>0</v>
      </c>
      <c r="J84" s="21"/>
      <c r="K84" s="82"/>
      <c r="L84" s="20">
        <f>ROUND(K84/12,2)</f>
        <v>0</v>
      </c>
      <c r="M84" s="20">
        <f>L84*1.8</f>
        <v>0</v>
      </c>
      <c r="N84" s="21"/>
      <c r="O84" s="22">
        <f t="shared" si="51"/>
        <v>0</v>
      </c>
      <c r="P84" s="22">
        <f t="shared" ref="P84:P85" si="54">ROUND(O84/24,2)</f>
        <v>0</v>
      </c>
      <c r="Q84" s="22">
        <f t="shared" ref="Q84:Q85" si="55">P84*1.8</f>
        <v>0</v>
      </c>
      <c r="R84" s="23"/>
    </row>
    <row r="85" spans="1:18" ht="18.75" customHeight="1" x14ac:dyDescent="0.35">
      <c r="A85" s="145"/>
      <c r="B85" s="145" t="s">
        <v>10</v>
      </c>
      <c r="C85" s="82"/>
      <c r="D85" s="20">
        <f>ROUND(C85/12,2)</f>
        <v>0</v>
      </c>
      <c r="E85" s="20">
        <f>D85*1.8</f>
        <v>0</v>
      </c>
      <c r="F85" s="21"/>
      <c r="G85" s="81"/>
      <c r="H85" s="20">
        <f>ROUND(G85/12,2)</f>
        <v>0</v>
      </c>
      <c r="I85" s="20">
        <f>H85*1.8</f>
        <v>0</v>
      </c>
      <c r="J85" s="21"/>
      <c r="K85" s="82"/>
      <c r="L85" s="20">
        <f>ROUND(K85/12,2)</f>
        <v>0</v>
      </c>
      <c r="M85" s="20">
        <f>L85*1.8</f>
        <v>0</v>
      </c>
      <c r="N85" s="21"/>
      <c r="O85" s="22">
        <f t="shared" si="51"/>
        <v>0</v>
      </c>
      <c r="P85" s="22">
        <f t="shared" si="54"/>
        <v>0</v>
      </c>
      <c r="Q85" s="22">
        <f t="shared" si="55"/>
        <v>0</v>
      </c>
      <c r="R85" s="23"/>
    </row>
    <row r="86" spans="1:18" ht="18.75" customHeight="1" x14ac:dyDescent="0.35">
      <c r="A86" s="145" t="s">
        <v>36</v>
      </c>
      <c r="B86" s="145" t="s">
        <v>8</v>
      </c>
      <c r="C86" s="82">
        <v>3732</v>
      </c>
      <c r="D86" s="20">
        <f>ROUND(C86/18,2)</f>
        <v>207.33</v>
      </c>
      <c r="E86" s="20"/>
      <c r="F86" s="21">
        <f>SUM(D86,E87:E88)</f>
        <v>207.33</v>
      </c>
      <c r="G86" s="81">
        <v>3826</v>
      </c>
      <c r="H86" s="20">
        <f>ROUND(G86/18,2)</f>
        <v>212.56</v>
      </c>
      <c r="I86" s="20"/>
      <c r="J86" s="21">
        <f>SUM(H86,I87:I88)</f>
        <v>212.56</v>
      </c>
      <c r="K86" s="82"/>
      <c r="L86" s="20">
        <f>ROUND(K86/18,2)</f>
        <v>0</v>
      </c>
      <c r="M86" s="20"/>
      <c r="N86" s="21">
        <f>SUM(L86,M87:M88)</f>
        <v>0</v>
      </c>
      <c r="O86" s="22">
        <f t="shared" si="51"/>
        <v>7558</v>
      </c>
      <c r="P86" s="22">
        <f>ROUND(O86/36,2)</f>
        <v>209.94</v>
      </c>
      <c r="Q86" s="22"/>
      <c r="R86" s="23">
        <f>SUM(P86,Q87:Q88)</f>
        <v>209.94</v>
      </c>
    </row>
    <row r="87" spans="1:18" ht="18.75" customHeight="1" x14ac:dyDescent="0.35">
      <c r="A87" s="145"/>
      <c r="B87" s="145" t="s">
        <v>9</v>
      </c>
      <c r="C87" s="82"/>
      <c r="D87" s="20">
        <f>ROUND(C87/12,2)</f>
        <v>0</v>
      </c>
      <c r="E87" s="20">
        <f>D87*1.8</f>
        <v>0</v>
      </c>
      <c r="F87" s="21"/>
      <c r="G87" s="81"/>
      <c r="H87" s="20">
        <f>ROUND(G87/12,2)</f>
        <v>0</v>
      </c>
      <c r="I87" s="20">
        <f>H87*1.8</f>
        <v>0</v>
      </c>
      <c r="J87" s="21"/>
      <c r="K87" s="82"/>
      <c r="L87" s="20">
        <f>ROUND(K87/12,2)</f>
        <v>0</v>
      </c>
      <c r="M87" s="20">
        <f>L87*1.8</f>
        <v>0</v>
      </c>
      <c r="N87" s="21"/>
      <c r="O87" s="22">
        <f t="shared" si="51"/>
        <v>0</v>
      </c>
      <c r="P87" s="22">
        <f t="shared" ref="P87:P88" si="56">ROUND(O87/24,2)</f>
        <v>0</v>
      </c>
      <c r="Q87" s="22">
        <f t="shared" ref="Q87:Q88" si="57">P87*1.8</f>
        <v>0</v>
      </c>
      <c r="R87" s="23"/>
    </row>
    <row r="88" spans="1:18" ht="18.75" customHeight="1" x14ac:dyDescent="0.35">
      <c r="A88" s="145"/>
      <c r="B88" s="145" t="s">
        <v>10</v>
      </c>
      <c r="C88" s="82"/>
      <c r="D88" s="20">
        <f>ROUND(C88/12,2)</f>
        <v>0</v>
      </c>
      <c r="E88" s="20">
        <f>D88*1.8</f>
        <v>0</v>
      </c>
      <c r="F88" s="21"/>
      <c r="G88" s="81"/>
      <c r="H88" s="20">
        <f>ROUND(G88/12,2)</f>
        <v>0</v>
      </c>
      <c r="I88" s="20">
        <f>H88*1.8</f>
        <v>0</v>
      </c>
      <c r="J88" s="21"/>
      <c r="K88" s="82"/>
      <c r="L88" s="20">
        <f>ROUND(K88/12,2)</f>
        <v>0</v>
      </c>
      <c r="M88" s="20">
        <f>L88*1.8</f>
        <v>0</v>
      </c>
      <c r="N88" s="21"/>
      <c r="O88" s="22">
        <f t="shared" si="51"/>
        <v>0</v>
      </c>
      <c r="P88" s="22">
        <f t="shared" si="56"/>
        <v>0</v>
      </c>
      <c r="Q88" s="22">
        <f t="shared" si="57"/>
        <v>0</v>
      </c>
      <c r="R88" s="23"/>
    </row>
    <row r="89" spans="1:18" ht="18.75" customHeight="1" x14ac:dyDescent="0.35">
      <c r="A89" s="173" t="s">
        <v>22</v>
      </c>
      <c r="B89" s="151" t="s">
        <v>8</v>
      </c>
      <c r="C89" s="138">
        <f>SUMIF($B$55:$B$88,"ปริญญาตรี",C55:C88)</f>
        <v>61838</v>
      </c>
      <c r="D89" s="251">
        <f>ROUND(C89/18,2)</f>
        <v>3435.44</v>
      </c>
      <c r="E89" s="251"/>
      <c r="F89" s="252">
        <f>SUM(D89,E90:E91)</f>
        <v>3449.39</v>
      </c>
      <c r="G89" s="269">
        <f>SUMIF($B$55:$B$88,"ปริญญาตรี",G55:G88)</f>
        <v>53803</v>
      </c>
      <c r="H89" s="251">
        <f>ROUND(G89/18,2)</f>
        <v>2989.06</v>
      </c>
      <c r="I89" s="251"/>
      <c r="J89" s="252">
        <f>SUM(H89,I90:I91)</f>
        <v>3003.46</v>
      </c>
      <c r="K89" s="269">
        <f>SUMIF($B$55:$B$88,"ปริญญาตรี",K55:K88)</f>
        <v>327</v>
      </c>
      <c r="L89" s="251">
        <f>ROUND(K89/18,2)</f>
        <v>18.170000000000002</v>
      </c>
      <c r="M89" s="251"/>
      <c r="N89" s="252">
        <f>SUM(L89,M90:M91)</f>
        <v>18.170000000000002</v>
      </c>
      <c r="O89" s="256">
        <f t="shared" si="51"/>
        <v>115968</v>
      </c>
      <c r="P89" s="257">
        <f>ROUND(O89/36,2)</f>
        <v>3221.33</v>
      </c>
      <c r="Q89" s="257"/>
      <c r="R89" s="258">
        <f>SUM(P89,Q90:Q91)</f>
        <v>3235.5140000000001</v>
      </c>
    </row>
    <row r="90" spans="1:18" ht="18.75" customHeight="1" x14ac:dyDescent="0.35">
      <c r="A90" s="174" t="s">
        <v>22</v>
      </c>
      <c r="B90" s="151" t="s">
        <v>9</v>
      </c>
      <c r="C90" s="138">
        <f>SUMIF($B$55:$B$88,"ปริญญาโท",C55:C88)</f>
        <v>39</v>
      </c>
      <c r="D90" s="251">
        <f>ROUND(C90/12,2)</f>
        <v>3.25</v>
      </c>
      <c r="E90" s="251">
        <f>D90*1.8</f>
        <v>5.8500000000000005</v>
      </c>
      <c r="F90" s="252"/>
      <c r="G90" s="269">
        <f>SUMIF($B$55:$B$88,"ปริญญาโท",G55:G88)</f>
        <v>36</v>
      </c>
      <c r="H90" s="251">
        <f>ROUND(G90/12,2)</f>
        <v>3</v>
      </c>
      <c r="I90" s="251">
        <f>H90*1.8</f>
        <v>5.4</v>
      </c>
      <c r="J90" s="252"/>
      <c r="K90" s="269">
        <f>SUMIF($B$55:$B$88,"ปริญญาโท",K55:K88)</f>
        <v>0</v>
      </c>
      <c r="L90" s="251">
        <f>ROUND(K90/12,2)</f>
        <v>0</v>
      </c>
      <c r="M90" s="251">
        <f>L90*1.8</f>
        <v>0</v>
      </c>
      <c r="N90" s="252"/>
      <c r="O90" s="256">
        <f t="shared" si="51"/>
        <v>75</v>
      </c>
      <c r="P90" s="257">
        <f t="shared" ref="P90:P91" si="58">ROUND(O90/24,2)</f>
        <v>3.13</v>
      </c>
      <c r="Q90" s="257">
        <f t="shared" ref="Q90:Q91" si="59">P90*1.8</f>
        <v>5.6340000000000003</v>
      </c>
      <c r="R90" s="258"/>
    </row>
    <row r="91" spans="1:18" ht="18.75" customHeight="1" thickBot="1" x14ac:dyDescent="0.4">
      <c r="A91" s="175" t="s">
        <v>22</v>
      </c>
      <c r="B91" s="152" t="s">
        <v>10</v>
      </c>
      <c r="C91" s="139">
        <f>SUMIF($B$55:$B$88,"ปริญญาเอก",C55:C88)</f>
        <v>54</v>
      </c>
      <c r="D91" s="259">
        <f>ROUND(C91/12,2)</f>
        <v>4.5</v>
      </c>
      <c r="E91" s="259">
        <f>D91*1.8</f>
        <v>8.1</v>
      </c>
      <c r="F91" s="260"/>
      <c r="G91" s="270">
        <f>SUMIF($B$55:$B$88,"ปริญญาเอก",G55:G88)</f>
        <v>60</v>
      </c>
      <c r="H91" s="259">
        <f>ROUND(G91/12,2)</f>
        <v>5</v>
      </c>
      <c r="I91" s="259">
        <f>H91*1.8</f>
        <v>9</v>
      </c>
      <c r="J91" s="260"/>
      <c r="K91" s="270">
        <f>SUMIF($B$55:$B$88,"ปริญญาเอก",K55:K88)</f>
        <v>0</v>
      </c>
      <c r="L91" s="259">
        <f>ROUND(K91/12,2)</f>
        <v>0</v>
      </c>
      <c r="M91" s="259">
        <f>L91*1.8</f>
        <v>0</v>
      </c>
      <c r="N91" s="260"/>
      <c r="O91" s="262">
        <f t="shared" si="51"/>
        <v>114</v>
      </c>
      <c r="P91" s="263">
        <f t="shared" si="58"/>
        <v>4.75</v>
      </c>
      <c r="Q91" s="263">
        <f t="shared" si="59"/>
        <v>8.5500000000000007</v>
      </c>
      <c r="R91" s="264"/>
    </row>
    <row r="92" spans="1:18" ht="18.75" customHeight="1" x14ac:dyDescent="0.35">
      <c r="A92" s="148" t="s">
        <v>37</v>
      </c>
      <c r="B92" s="149"/>
      <c r="C92" s="80"/>
      <c r="D92" s="28"/>
      <c r="E92" s="28"/>
      <c r="F92" s="29"/>
      <c r="G92" s="79"/>
      <c r="H92" s="28"/>
      <c r="I92" s="28"/>
      <c r="J92" s="29"/>
      <c r="K92" s="80"/>
      <c r="L92" s="28"/>
      <c r="M92" s="28"/>
      <c r="N92" s="29"/>
      <c r="O92" s="30"/>
      <c r="P92" s="30"/>
      <c r="Q92" s="30"/>
      <c r="R92" s="31"/>
    </row>
    <row r="93" spans="1:18" ht="18.75" customHeight="1" x14ac:dyDescent="0.35">
      <c r="A93" s="145" t="s">
        <v>38</v>
      </c>
      <c r="B93" s="145" t="s">
        <v>8</v>
      </c>
      <c r="C93" s="82">
        <v>6801</v>
      </c>
      <c r="D93" s="20">
        <f>ROUND(C93/18,2)</f>
        <v>377.83</v>
      </c>
      <c r="E93" s="20"/>
      <c r="F93" s="21">
        <f>SUM(D93,E94:E95)</f>
        <v>377.83</v>
      </c>
      <c r="G93" s="81">
        <v>6208</v>
      </c>
      <c r="H93" s="20">
        <f>ROUND(G93/18,2)</f>
        <v>344.89</v>
      </c>
      <c r="I93" s="20"/>
      <c r="J93" s="21">
        <f>SUM(H93,I94:I95)</f>
        <v>344.89</v>
      </c>
      <c r="K93" s="82"/>
      <c r="L93" s="20">
        <f>ROUND(K93/18,2)</f>
        <v>0</v>
      </c>
      <c r="M93" s="20"/>
      <c r="N93" s="21">
        <f>SUM(L93,M94:M95)</f>
        <v>0</v>
      </c>
      <c r="O93" s="22">
        <f t="shared" si="51"/>
        <v>13009</v>
      </c>
      <c r="P93" s="22">
        <f>ROUND(O93/36,2)</f>
        <v>361.36</v>
      </c>
      <c r="Q93" s="22"/>
      <c r="R93" s="23">
        <f>SUM(P93,Q94:Q95)</f>
        <v>361.36</v>
      </c>
    </row>
    <row r="94" spans="1:18" ht="18.75" customHeight="1" x14ac:dyDescent="0.35">
      <c r="A94" s="145"/>
      <c r="B94" s="145" t="s">
        <v>9</v>
      </c>
      <c r="C94" s="82"/>
      <c r="D94" s="20">
        <f>ROUND(C94/12,2)</f>
        <v>0</v>
      </c>
      <c r="E94" s="20">
        <f>D94*1.8</f>
        <v>0</v>
      </c>
      <c r="F94" s="21"/>
      <c r="G94" s="81"/>
      <c r="H94" s="20">
        <f>ROUND(G94/12,2)</f>
        <v>0</v>
      </c>
      <c r="I94" s="20">
        <f>H94*1.8</f>
        <v>0</v>
      </c>
      <c r="J94" s="21"/>
      <c r="K94" s="82"/>
      <c r="L94" s="20">
        <f>ROUND(K94/12,2)</f>
        <v>0</v>
      </c>
      <c r="M94" s="20">
        <f>L94*1.8</f>
        <v>0</v>
      </c>
      <c r="N94" s="21"/>
      <c r="O94" s="22">
        <f t="shared" si="51"/>
        <v>0</v>
      </c>
      <c r="P94" s="22">
        <f t="shared" ref="P94:P95" si="60">ROUND(O94/24,2)</f>
        <v>0</v>
      </c>
      <c r="Q94" s="22">
        <f t="shared" ref="Q94:Q95" si="61">P94*1.8</f>
        <v>0</v>
      </c>
      <c r="R94" s="23"/>
    </row>
    <row r="95" spans="1:18" ht="18.75" customHeight="1" x14ac:dyDescent="0.35">
      <c r="A95" s="145"/>
      <c r="B95" s="145" t="s">
        <v>10</v>
      </c>
      <c r="C95" s="82"/>
      <c r="D95" s="20">
        <f>ROUND(C95/12,2)</f>
        <v>0</v>
      </c>
      <c r="E95" s="20">
        <f>D95*1.8</f>
        <v>0</v>
      </c>
      <c r="F95" s="21"/>
      <c r="G95" s="81"/>
      <c r="H95" s="20">
        <f>ROUND(G95/12,2)</f>
        <v>0</v>
      </c>
      <c r="I95" s="20">
        <f>H95*1.8</f>
        <v>0</v>
      </c>
      <c r="J95" s="21"/>
      <c r="K95" s="82"/>
      <c r="L95" s="20">
        <f>ROUND(K95/12,2)</f>
        <v>0</v>
      </c>
      <c r="M95" s="20">
        <f>L95*1.8</f>
        <v>0</v>
      </c>
      <c r="N95" s="21"/>
      <c r="O95" s="22">
        <f t="shared" si="51"/>
        <v>0</v>
      </c>
      <c r="P95" s="22">
        <f t="shared" si="60"/>
        <v>0</v>
      </c>
      <c r="Q95" s="22">
        <f t="shared" si="61"/>
        <v>0</v>
      </c>
      <c r="R95" s="23"/>
    </row>
    <row r="96" spans="1:18" ht="18.75" customHeight="1" x14ac:dyDescent="0.35">
      <c r="A96" s="145" t="s">
        <v>39</v>
      </c>
      <c r="B96" s="145" t="s">
        <v>8</v>
      </c>
      <c r="C96" s="82">
        <f>255+4092</f>
        <v>4347</v>
      </c>
      <c r="D96" s="20">
        <f>ROUND(C96/18,2)</f>
        <v>241.5</v>
      </c>
      <c r="E96" s="20"/>
      <c r="F96" s="21">
        <f>SUM(D96,E97:E98)</f>
        <v>279.60599999999999</v>
      </c>
      <c r="G96" s="81">
        <v>4158</v>
      </c>
      <c r="H96" s="20">
        <f>ROUND(G96/18,2)</f>
        <v>231</v>
      </c>
      <c r="I96" s="20"/>
      <c r="J96" s="21">
        <f>SUM(H96,I97:I98)</f>
        <v>268.8</v>
      </c>
      <c r="K96" s="82"/>
      <c r="L96" s="20">
        <f>ROUND(K96/18,2)</f>
        <v>0</v>
      </c>
      <c r="M96" s="20"/>
      <c r="N96" s="21">
        <f>SUM(L96,M97:M98)</f>
        <v>0</v>
      </c>
      <c r="O96" s="22">
        <f t="shared" si="51"/>
        <v>8505</v>
      </c>
      <c r="P96" s="22">
        <f>ROUND(O96/36,2)</f>
        <v>236.25</v>
      </c>
      <c r="Q96" s="22"/>
      <c r="R96" s="23">
        <f>SUM(P96,Q97:Q98)</f>
        <v>274.19400000000002</v>
      </c>
    </row>
    <row r="97" spans="1:18" ht="18.75" customHeight="1" x14ac:dyDescent="0.35">
      <c r="A97" s="145"/>
      <c r="B97" s="145" t="s">
        <v>9</v>
      </c>
      <c r="C97" s="82">
        <v>254</v>
      </c>
      <c r="D97" s="20">
        <f>ROUND(C97/12,2)</f>
        <v>21.17</v>
      </c>
      <c r="E97" s="20">
        <f>D97*1.8</f>
        <v>38.106000000000002</v>
      </c>
      <c r="F97" s="21"/>
      <c r="G97" s="81">
        <v>252</v>
      </c>
      <c r="H97" s="20">
        <f>ROUND(G97/12,2)</f>
        <v>21</v>
      </c>
      <c r="I97" s="20">
        <f>H97*1.8</f>
        <v>37.800000000000004</v>
      </c>
      <c r="J97" s="21"/>
      <c r="K97" s="82"/>
      <c r="L97" s="20">
        <f>ROUND(K97/12,2)</f>
        <v>0</v>
      </c>
      <c r="M97" s="20">
        <f>L97*1.8</f>
        <v>0</v>
      </c>
      <c r="N97" s="21"/>
      <c r="O97" s="22">
        <f t="shared" si="51"/>
        <v>506</v>
      </c>
      <c r="P97" s="22">
        <f t="shared" ref="P97:P98" si="62">ROUND(O97/24,2)</f>
        <v>21.08</v>
      </c>
      <c r="Q97" s="22">
        <f t="shared" ref="Q97:Q98" si="63">P97*1.8</f>
        <v>37.943999999999996</v>
      </c>
      <c r="R97" s="23"/>
    </row>
    <row r="98" spans="1:18" ht="18.75" customHeight="1" x14ac:dyDescent="0.35">
      <c r="A98" s="145"/>
      <c r="B98" s="145" t="s">
        <v>10</v>
      </c>
      <c r="C98" s="82"/>
      <c r="D98" s="20">
        <f>ROUND(C98/12,2)</f>
        <v>0</v>
      </c>
      <c r="E98" s="20">
        <f>D98*1.8</f>
        <v>0</v>
      </c>
      <c r="F98" s="21"/>
      <c r="G98" s="81"/>
      <c r="H98" s="20">
        <f>ROUND(G98/12,2)</f>
        <v>0</v>
      </c>
      <c r="I98" s="20">
        <f>H98*1.8</f>
        <v>0</v>
      </c>
      <c r="J98" s="21"/>
      <c r="K98" s="82"/>
      <c r="L98" s="20">
        <f>ROUND(K98/12,2)</f>
        <v>0</v>
      </c>
      <c r="M98" s="20">
        <f>L98*1.8</f>
        <v>0</v>
      </c>
      <c r="N98" s="21"/>
      <c r="O98" s="22">
        <f t="shared" si="51"/>
        <v>0</v>
      </c>
      <c r="P98" s="22">
        <f t="shared" si="62"/>
        <v>0</v>
      </c>
      <c r="Q98" s="22">
        <f t="shared" si="63"/>
        <v>0</v>
      </c>
      <c r="R98" s="23"/>
    </row>
    <row r="99" spans="1:18" ht="18.75" customHeight="1" x14ac:dyDescent="0.35">
      <c r="A99" s="145" t="s">
        <v>40</v>
      </c>
      <c r="B99" s="145" t="s">
        <v>8</v>
      </c>
      <c r="C99" s="82">
        <v>8596</v>
      </c>
      <c r="D99" s="20">
        <f>ROUND(C99/18,2)</f>
        <v>477.56</v>
      </c>
      <c r="E99" s="20"/>
      <c r="F99" s="21">
        <f>SUM(D99,E100:E101)</f>
        <v>477.56</v>
      </c>
      <c r="G99" s="81">
        <v>6632</v>
      </c>
      <c r="H99" s="20">
        <f>ROUND(G99/18,2)</f>
        <v>368.44</v>
      </c>
      <c r="I99" s="20"/>
      <c r="J99" s="21">
        <f>SUM(H99,I100:I101)</f>
        <v>368.44</v>
      </c>
      <c r="K99" s="82"/>
      <c r="L99" s="20">
        <f>ROUND(K99/18,2)</f>
        <v>0</v>
      </c>
      <c r="M99" s="20"/>
      <c r="N99" s="21">
        <f>SUM(L99,M100:M101)</f>
        <v>0</v>
      </c>
      <c r="O99" s="22">
        <f t="shared" si="51"/>
        <v>15228</v>
      </c>
      <c r="P99" s="22">
        <f>ROUND(O99/36,2)</f>
        <v>423</v>
      </c>
      <c r="Q99" s="22"/>
      <c r="R99" s="23">
        <f>SUM(P99,Q100:Q101)</f>
        <v>423</v>
      </c>
    </row>
    <row r="100" spans="1:18" ht="18.75" customHeight="1" x14ac:dyDescent="0.35">
      <c r="A100" s="145"/>
      <c r="B100" s="145" t="s">
        <v>9</v>
      </c>
      <c r="C100" s="82"/>
      <c r="D100" s="20">
        <f>ROUND(C100/12,2)</f>
        <v>0</v>
      </c>
      <c r="E100" s="20">
        <f>D100*1.8</f>
        <v>0</v>
      </c>
      <c r="F100" s="21"/>
      <c r="G100" s="81"/>
      <c r="H100" s="20">
        <f>ROUND(G100/12,2)</f>
        <v>0</v>
      </c>
      <c r="I100" s="20">
        <f>H100*1.8</f>
        <v>0</v>
      </c>
      <c r="J100" s="21"/>
      <c r="K100" s="82"/>
      <c r="L100" s="20">
        <f>ROUND(K100/12,2)</f>
        <v>0</v>
      </c>
      <c r="M100" s="20">
        <f>L100*1.8</f>
        <v>0</v>
      </c>
      <c r="N100" s="21"/>
      <c r="O100" s="22">
        <f t="shared" si="51"/>
        <v>0</v>
      </c>
      <c r="P100" s="22">
        <f>ROUND(O100/24,2)</f>
        <v>0</v>
      </c>
      <c r="Q100" s="22">
        <f t="shared" ref="Q100:Q101" si="64">P100*1.8</f>
        <v>0</v>
      </c>
      <c r="R100" s="23"/>
    </row>
    <row r="101" spans="1:18" ht="18.75" customHeight="1" x14ac:dyDescent="0.35">
      <c r="A101" s="145"/>
      <c r="B101" s="145" t="s">
        <v>10</v>
      </c>
      <c r="C101" s="82"/>
      <c r="D101" s="20">
        <f>ROUND(C101/12,2)</f>
        <v>0</v>
      </c>
      <c r="E101" s="20">
        <f>D101*1.8</f>
        <v>0</v>
      </c>
      <c r="F101" s="21"/>
      <c r="G101" s="81"/>
      <c r="H101" s="20">
        <f>ROUND(G101/12,2)</f>
        <v>0</v>
      </c>
      <c r="I101" s="20">
        <f>H101*1.8</f>
        <v>0</v>
      </c>
      <c r="J101" s="21"/>
      <c r="K101" s="82"/>
      <c r="L101" s="20">
        <f>ROUND(K101/12,2)</f>
        <v>0</v>
      </c>
      <c r="M101" s="20">
        <f>L101*1.8</f>
        <v>0</v>
      </c>
      <c r="N101" s="21"/>
      <c r="O101" s="22">
        <f t="shared" si="51"/>
        <v>0</v>
      </c>
      <c r="P101" s="22">
        <f t="shared" ref="P101" si="65">ROUND(O101/24,2)</f>
        <v>0</v>
      </c>
      <c r="Q101" s="22">
        <f t="shared" si="64"/>
        <v>0</v>
      </c>
      <c r="R101" s="23"/>
    </row>
    <row r="102" spans="1:18" ht="18.75" customHeight="1" x14ac:dyDescent="0.35">
      <c r="A102" s="173" t="s">
        <v>22</v>
      </c>
      <c r="B102" s="151" t="s">
        <v>8</v>
      </c>
      <c r="C102" s="93">
        <f>SUMIF($B$92:$B$101,"ปริญญาตรี",C92:C101)</f>
        <v>19744</v>
      </c>
      <c r="D102" s="251">
        <f>ROUND(C102/18,2)</f>
        <v>1096.8900000000001</v>
      </c>
      <c r="E102" s="251"/>
      <c r="F102" s="252">
        <f>SUM(D102,E103:E104)</f>
        <v>1134.9960000000001</v>
      </c>
      <c r="G102" s="253">
        <f>SUMIF($B$92:$B$101,"ปริญญาตรี",G92:G101)</f>
        <v>16998</v>
      </c>
      <c r="H102" s="251">
        <f>ROUND(G102/18,2)</f>
        <v>944.33</v>
      </c>
      <c r="I102" s="251"/>
      <c r="J102" s="252">
        <f>SUM(H102,I103:I104)</f>
        <v>982.13</v>
      </c>
      <c r="K102" s="265">
        <f>SUM(K93,K96,K99)</f>
        <v>0</v>
      </c>
      <c r="L102" s="251">
        <f>ROUND(K102/18,2)</f>
        <v>0</v>
      </c>
      <c r="M102" s="251"/>
      <c r="N102" s="252">
        <f>SUM(L102,M103:M104)</f>
        <v>0</v>
      </c>
      <c r="O102" s="256">
        <f t="shared" si="51"/>
        <v>36742</v>
      </c>
      <c r="P102" s="257">
        <f>ROUND(O102/36,2)</f>
        <v>1020.61</v>
      </c>
      <c r="Q102" s="257"/>
      <c r="R102" s="258">
        <f>SUM(P102,Q103:Q104)</f>
        <v>1058.5540000000001</v>
      </c>
    </row>
    <row r="103" spans="1:18" ht="18.75" customHeight="1" x14ac:dyDescent="0.35">
      <c r="A103" s="174" t="s">
        <v>22</v>
      </c>
      <c r="B103" s="151" t="s">
        <v>9</v>
      </c>
      <c r="C103" s="93">
        <f>SUMIF($B$92:$B$101,"ปริญญาโท",C92:C101)</f>
        <v>254</v>
      </c>
      <c r="D103" s="251">
        <f>ROUND(C103/12,2)</f>
        <v>21.17</v>
      </c>
      <c r="E103" s="251">
        <f>D103*1.8</f>
        <v>38.106000000000002</v>
      </c>
      <c r="F103" s="252"/>
      <c r="G103" s="253">
        <f>SUMIF($B$92:$B$101,"ปริญญาโท",G92:G101)</f>
        <v>252</v>
      </c>
      <c r="H103" s="251">
        <f>ROUND(G103/12,2)</f>
        <v>21</v>
      </c>
      <c r="I103" s="251">
        <f>H103*1.8</f>
        <v>37.800000000000004</v>
      </c>
      <c r="J103" s="252"/>
      <c r="K103" s="265">
        <f>SUM(K94,K97,K100)</f>
        <v>0</v>
      </c>
      <c r="L103" s="251">
        <f>ROUND(K103/12,2)</f>
        <v>0</v>
      </c>
      <c r="M103" s="251">
        <f>L103*1.8</f>
        <v>0</v>
      </c>
      <c r="N103" s="252"/>
      <c r="O103" s="256">
        <f t="shared" si="51"/>
        <v>506</v>
      </c>
      <c r="P103" s="257">
        <f t="shared" ref="P103:P104" si="66">ROUND(O103/24,2)</f>
        <v>21.08</v>
      </c>
      <c r="Q103" s="257">
        <f t="shared" ref="Q103:Q104" si="67">P103*1.8</f>
        <v>37.943999999999996</v>
      </c>
      <c r="R103" s="258"/>
    </row>
    <row r="104" spans="1:18" ht="18.75" customHeight="1" thickBot="1" x14ac:dyDescent="0.4">
      <c r="A104" s="175" t="s">
        <v>22</v>
      </c>
      <c r="B104" s="152" t="s">
        <v>10</v>
      </c>
      <c r="C104" s="94">
        <f>SUMIF($B$92:$B$101,"ปริญญาเอก",C92:C101)</f>
        <v>0</v>
      </c>
      <c r="D104" s="259">
        <f>ROUND(C104/12,2)</f>
        <v>0</v>
      </c>
      <c r="E104" s="259">
        <f>D104*1.8</f>
        <v>0</v>
      </c>
      <c r="F104" s="260"/>
      <c r="G104" s="261">
        <f>SUMIF($B$92:$B$101,"ปริญญาเอก",G92:G101)</f>
        <v>0</v>
      </c>
      <c r="H104" s="259">
        <f>ROUND(G104/12,2)</f>
        <v>0</v>
      </c>
      <c r="I104" s="259">
        <f>H104*1.8</f>
        <v>0</v>
      </c>
      <c r="J104" s="260"/>
      <c r="K104" s="268">
        <f>SUM(K95,K98,K101)</f>
        <v>0</v>
      </c>
      <c r="L104" s="259">
        <f>ROUND(K104/12,2)</f>
        <v>0</v>
      </c>
      <c r="M104" s="259">
        <f>L104*1.8</f>
        <v>0</v>
      </c>
      <c r="N104" s="260"/>
      <c r="O104" s="262">
        <f t="shared" si="51"/>
        <v>0</v>
      </c>
      <c r="P104" s="263">
        <f t="shared" si="66"/>
        <v>0</v>
      </c>
      <c r="Q104" s="263">
        <f t="shared" si="67"/>
        <v>0</v>
      </c>
      <c r="R104" s="264"/>
    </row>
    <row r="105" spans="1:18" ht="18.75" customHeight="1" x14ac:dyDescent="0.35">
      <c r="A105" s="148" t="s">
        <v>41</v>
      </c>
      <c r="B105" s="149"/>
      <c r="C105" s="80"/>
      <c r="D105" s="28"/>
      <c r="E105" s="28"/>
      <c r="F105" s="29"/>
      <c r="G105" s="79"/>
      <c r="H105" s="28"/>
      <c r="I105" s="28"/>
      <c r="J105" s="29"/>
      <c r="K105" s="80"/>
      <c r="L105" s="28"/>
      <c r="M105" s="28"/>
      <c r="N105" s="29"/>
      <c r="O105" s="66"/>
      <c r="P105" s="30"/>
      <c r="Q105" s="30"/>
      <c r="R105" s="31"/>
    </row>
    <row r="106" spans="1:18" ht="18.75" customHeight="1" x14ac:dyDescent="0.35">
      <c r="A106" s="145" t="s">
        <v>7</v>
      </c>
      <c r="B106" s="145" t="s">
        <v>8</v>
      </c>
      <c r="C106" s="82">
        <v>18894</v>
      </c>
      <c r="D106" s="20">
        <f>ROUND(C106/18,2)</f>
        <v>1049.67</v>
      </c>
      <c r="E106" s="20"/>
      <c r="F106" s="21">
        <f>SUM(D106,E107:E108)</f>
        <v>1059.3300000000002</v>
      </c>
      <c r="G106" s="81">
        <v>17909</v>
      </c>
      <c r="H106" s="20">
        <f>ROUND(G106/18,2)</f>
        <v>994.94</v>
      </c>
      <c r="I106" s="20"/>
      <c r="J106" s="21">
        <f>SUM(H106,I107:I108)</f>
        <v>1006.1</v>
      </c>
      <c r="K106" s="140">
        <v>716</v>
      </c>
      <c r="L106" s="20">
        <f>ROUND(K106/18,2)</f>
        <v>39.78</v>
      </c>
      <c r="M106" s="20"/>
      <c r="N106" s="21">
        <f>SUM(L106,M107:M108)</f>
        <v>40.28</v>
      </c>
      <c r="O106" s="22">
        <f t="shared" si="51"/>
        <v>37519</v>
      </c>
      <c r="P106" s="22">
        <f>ROUND(O106/36,2)</f>
        <v>1042.19</v>
      </c>
      <c r="Q106" s="22"/>
      <c r="R106" s="23">
        <f>SUM(P106,Q107:Q108)</f>
        <v>1052.8499999999999</v>
      </c>
    </row>
    <row r="107" spans="1:18" ht="18.75" customHeight="1" x14ac:dyDescent="0.35">
      <c r="A107" s="176"/>
      <c r="B107" s="145" t="s">
        <v>9</v>
      </c>
      <c r="C107" s="82">
        <v>37</v>
      </c>
      <c r="D107" s="20">
        <f>ROUND(C107/12,2)</f>
        <v>3.08</v>
      </c>
      <c r="E107" s="20">
        <f>D107*2</f>
        <v>6.16</v>
      </c>
      <c r="F107" s="21"/>
      <c r="G107" s="81">
        <v>33</v>
      </c>
      <c r="H107" s="20">
        <f>ROUND(G107/12,2)</f>
        <v>2.75</v>
      </c>
      <c r="I107" s="20">
        <f>H107*2</f>
        <v>5.5</v>
      </c>
      <c r="J107" s="21"/>
      <c r="K107" s="82">
        <v>3</v>
      </c>
      <c r="L107" s="20">
        <f>ROUND(K107/12,2)</f>
        <v>0.25</v>
      </c>
      <c r="M107" s="20">
        <f>L107*2</f>
        <v>0.5</v>
      </c>
      <c r="N107" s="21"/>
      <c r="O107" s="22">
        <f t="shared" si="51"/>
        <v>73</v>
      </c>
      <c r="P107" s="22">
        <f t="shared" ref="P107:P108" si="68">ROUND(O107/24,2)</f>
        <v>3.04</v>
      </c>
      <c r="Q107" s="22">
        <f t="shared" ref="Q107:Q108" si="69">P107*2</f>
        <v>6.08</v>
      </c>
      <c r="R107" s="23"/>
    </row>
    <row r="108" spans="1:18" ht="18.75" customHeight="1" thickBot="1" x14ac:dyDescent="0.4">
      <c r="A108" s="164"/>
      <c r="B108" s="146" t="s">
        <v>10</v>
      </c>
      <c r="C108" s="84">
        <v>21</v>
      </c>
      <c r="D108" s="24">
        <f>ROUND(C108/12,2)</f>
        <v>1.75</v>
      </c>
      <c r="E108" s="24">
        <f>D108*2</f>
        <v>3.5</v>
      </c>
      <c r="F108" s="25"/>
      <c r="G108" s="83">
        <v>34</v>
      </c>
      <c r="H108" s="24">
        <f>ROUND(G108/12,2)</f>
        <v>2.83</v>
      </c>
      <c r="I108" s="24">
        <f>H108*2</f>
        <v>5.66</v>
      </c>
      <c r="J108" s="25"/>
      <c r="K108" s="84"/>
      <c r="L108" s="24">
        <f>ROUND(K108/12,2)</f>
        <v>0</v>
      </c>
      <c r="M108" s="24">
        <f>L108*2</f>
        <v>0</v>
      </c>
      <c r="N108" s="25"/>
      <c r="O108" s="92">
        <f t="shared" si="51"/>
        <v>55</v>
      </c>
      <c r="P108" s="26">
        <f t="shared" si="68"/>
        <v>2.29</v>
      </c>
      <c r="Q108" s="26">
        <f t="shared" si="69"/>
        <v>4.58</v>
      </c>
      <c r="R108" s="27"/>
    </row>
    <row r="109" spans="1:18" ht="18.75" customHeight="1" x14ac:dyDescent="0.35">
      <c r="A109" s="148" t="s">
        <v>42</v>
      </c>
      <c r="B109" s="149"/>
      <c r="C109" s="80"/>
      <c r="D109" s="28"/>
      <c r="E109" s="28"/>
      <c r="F109" s="29"/>
      <c r="G109" s="79"/>
      <c r="H109" s="28"/>
      <c r="I109" s="28"/>
      <c r="J109" s="29"/>
      <c r="K109" s="80"/>
      <c r="L109" s="28"/>
      <c r="M109" s="28"/>
      <c r="N109" s="29"/>
      <c r="O109" s="66"/>
      <c r="P109" s="30"/>
      <c r="Q109" s="30"/>
      <c r="R109" s="31"/>
    </row>
    <row r="110" spans="1:18" ht="18.75" customHeight="1" x14ac:dyDescent="0.35">
      <c r="A110" s="145" t="s">
        <v>7</v>
      </c>
      <c r="B110" s="145" t="s">
        <v>8</v>
      </c>
      <c r="C110" s="82">
        <v>17663</v>
      </c>
      <c r="D110" s="20">
        <f>ROUND(C110/18,2)</f>
        <v>981.28</v>
      </c>
      <c r="E110" s="20"/>
      <c r="F110" s="21">
        <f>SUM(D110,E111:E112)</f>
        <v>1016.12</v>
      </c>
      <c r="G110" s="81">
        <v>18705</v>
      </c>
      <c r="H110" s="20">
        <f>ROUND(G110/18,2)</f>
        <v>1039.17</v>
      </c>
      <c r="I110" s="20"/>
      <c r="J110" s="21">
        <f>SUM(H110,I111:I112)</f>
        <v>1076.3300000000002</v>
      </c>
      <c r="K110" s="82">
        <v>240</v>
      </c>
      <c r="L110" s="20">
        <f>ROUND(K110/18,2)</f>
        <v>13.33</v>
      </c>
      <c r="M110" s="20"/>
      <c r="N110" s="21">
        <f>SUM(L110,M111:M112)</f>
        <v>13.33</v>
      </c>
      <c r="O110" s="22">
        <f t="shared" si="51"/>
        <v>36608</v>
      </c>
      <c r="P110" s="22">
        <f>ROUND(O110/36,2)</f>
        <v>1016.89</v>
      </c>
      <c r="Q110" s="22"/>
      <c r="R110" s="23">
        <f>SUM(P110,Q111:Q112)</f>
        <v>1052.8899999999999</v>
      </c>
    </row>
    <row r="111" spans="1:18" ht="18.75" customHeight="1" x14ac:dyDescent="0.35">
      <c r="A111" s="176"/>
      <c r="B111" s="145" t="s">
        <v>9</v>
      </c>
      <c r="C111" s="82">
        <v>173</v>
      </c>
      <c r="D111" s="20">
        <f>ROUND(C111/12,2)</f>
        <v>14.42</v>
      </c>
      <c r="E111" s="20">
        <f>D111*2</f>
        <v>28.84</v>
      </c>
      <c r="F111" s="21"/>
      <c r="G111" s="81">
        <v>186</v>
      </c>
      <c r="H111" s="20">
        <f>ROUND(G111/12,2)</f>
        <v>15.5</v>
      </c>
      <c r="I111" s="20">
        <f>H111*2</f>
        <v>31</v>
      </c>
      <c r="J111" s="21"/>
      <c r="K111" s="82"/>
      <c r="L111" s="20">
        <f>ROUND(K111/12,2)</f>
        <v>0</v>
      </c>
      <c r="M111" s="20">
        <f>L111*2</f>
        <v>0</v>
      </c>
      <c r="N111" s="21"/>
      <c r="O111" s="22">
        <f t="shared" si="51"/>
        <v>359</v>
      </c>
      <c r="P111" s="22">
        <f t="shared" ref="P111:P112" si="70">ROUND(O111/24,2)</f>
        <v>14.96</v>
      </c>
      <c r="Q111" s="22">
        <f t="shared" ref="Q111:Q112" si="71">P111*2</f>
        <v>29.92</v>
      </c>
      <c r="R111" s="23"/>
    </row>
    <row r="112" spans="1:18" ht="18.75" customHeight="1" thickBot="1" x14ac:dyDescent="0.4">
      <c r="A112" s="164"/>
      <c r="B112" s="146" t="s">
        <v>10</v>
      </c>
      <c r="C112" s="84">
        <v>36</v>
      </c>
      <c r="D112" s="24">
        <f>ROUND(C112/12,2)</f>
        <v>3</v>
      </c>
      <c r="E112" s="24">
        <f>D112*2</f>
        <v>6</v>
      </c>
      <c r="F112" s="25"/>
      <c r="G112" s="83">
        <v>37</v>
      </c>
      <c r="H112" s="24">
        <f>ROUND(G112/12,2)</f>
        <v>3.08</v>
      </c>
      <c r="I112" s="24">
        <f>H112*2</f>
        <v>6.16</v>
      </c>
      <c r="J112" s="25"/>
      <c r="K112" s="84"/>
      <c r="L112" s="24">
        <f>ROUND(K112/12,2)</f>
        <v>0</v>
      </c>
      <c r="M112" s="24">
        <f>L112*2</f>
        <v>0</v>
      </c>
      <c r="N112" s="25"/>
      <c r="O112" s="92">
        <f t="shared" si="51"/>
        <v>73</v>
      </c>
      <c r="P112" s="26">
        <f t="shared" si="70"/>
        <v>3.04</v>
      </c>
      <c r="Q112" s="26">
        <f t="shared" si="71"/>
        <v>6.08</v>
      </c>
      <c r="R112" s="27"/>
    </row>
    <row r="113" spans="1:18" ht="18.75" customHeight="1" x14ac:dyDescent="0.35">
      <c r="A113" s="148" t="s">
        <v>43</v>
      </c>
      <c r="B113" s="149"/>
      <c r="C113" s="80"/>
      <c r="D113" s="28"/>
      <c r="E113" s="28"/>
      <c r="F113" s="29"/>
      <c r="G113" s="79"/>
      <c r="H113" s="28"/>
      <c r="I113" s="28"/>
      <c r="J113" s="29"/>
      <c r="K113" s="80"/>
      <c r="L113" s="28"/>
      <c r="M113" s="28"/>
      <c r="N113" s="29"/>
      <c r="O113" s="30"/>
      <c r="P113" s="30"/>
      <c r="Q113" s="30"/>
      <c r="R113" s="31"/>
    </row>
    <row r="114" spans="1:18" ht="18.75" customHeight="1" x14ac:dyDescent="0.35">
      <c r="A114" s="145" t="s">
        <v>44</v>
      </c>
      <c r="B114" s="145" t="s">
        <v>8</v>
      </c>
      <c r="C114" s="82">
        <v>13632</v>
      </c>
      <c r="D114" s="20">
        <f>ROUND(C114/18,2)</f>
        <v>757.33</v>
      </c>
      <c r="E114" s="20"/>
      <c r="F114" s="21">
        <f>SUM(D114,E115:E116)</f>
        <v>757.33</v>
      </c>
      <c r="G114" s="81">
        <v>10745</v>
      </c>
      <c r="H114" s="20">
        <f>ROUND(G114/18,2)</f>
        <v>596.94000000000005</v>
      </c>
      <c r="I114" s="20"/>
      <c r="J114" s="21">
        <f>SUM(H114,I115:I116)</f>
        <v>596.94000000000005</v>
      </c>
      <c r="K114" s="82">
        <v>12</v>
      </c>
      <c r="L114" s="20">
        <f>ROUND(K114/18,2)</f>
        <v>0.67</v>
      </c>
      <c r="M114" s="20"/>
      <c r="N114" s="21">
        <f>SUM(L114,M115:M116)</f>
        <v>0.67</v>
      </c>
      <c r="O114" s="22">
        <f t="shared" si="51"/>
        <v>24389</v>
      </c>
      <c r="P114" s="22">
        <f>ROUND(O114/36,2)</f>
        <v>677.47</v>
      </c>
      <c r="Q114" s="22"/>
      <c r="R114" s="23">
        <f>SUM(P114,Q115:Q116)</f>
        <v>677.47</v>
      </c>
    </row>
    <row r="115" spans="1:18" ht="18.75" customHeight="1" x14ac:dyDescent="0.35">
      <c r="A115" s="145"/>
      <c r="B115" s="145" t="s">
        <v>9</v>
      </c>
      <c r="C115" s="82"/>
      <c r="D115" s="20">
        <f>ROUND(C115/12,2)</f>
        <v>0</v>
      </c>
      <c r="E115" s="20">
        <f>D115*2</f>
        <v>0</v>
      </c>
      <c r="F115" s="21"/>
      <c r="G115" s="81"/>
      <c r="H115" s="20">
        <f>ROUND(G115/12,2)</f>
        <v>0</v>
      </c>
      <c r="I115" s="20">
        <f>H115*2</f>
        <v>0</v>
      </c>
      <c r="J115" s="21"/>
      <c r="K115" s="82"/>
      <c r="L115" s="20">
        <f>ROUND(K115/12,2)</f>
        <v>0</v>
      </c>
      <c r="M115" s="20">
        <f>L115*2</f>
        <v>0</v>
      </c>
      <c r="N115" s="21"/>
      <c r="O115" s="22">
        <f t="shared" si="51"/>
        <v>0</v>
      </c>
      <c r="P115" s="22">
        <f t="shared" ref="P115:P116" si="72">ROUND(O115/24,2)</f>
        <v>0</v>
      </c>
      <c r="Q115" s="22">
        <f t="shared" ref="Q115:Q116" si="73">P115*2</f>
        <v>0</v>
      </c>
      <c r="R115" s="23"/>
    </row>
    <row r="116" spans="1:18" ht="18.75" customHeight="1" x14ac:dyDescent="0.35">
      <c r="A116" s="145"/>
      <c r="B116" s="145" t="s">
        <v>10</v>
      </c>
      <c r="C116" s="82"/>
      <c r="D116" s="20">
        <f>ROUND(C116/12,2)</f>
        <v>0</v>
      </c>
      <c r="E116" s="20">
        <f>D116*2</f>
        <v>0</v>
      </c>
      <c r="F116" s="21"/>
      <c r="G116" s="81"/>
      <c r="H116" s="20">
        <f>ROUND(G116/12,2)</f>
        <v>0</v>
      </c>
      <c r="I116" s="20">
        <f>H116*2</f>
        <v>0</v>
      </c>
      <c r="J116" s="21"/>
      <c r="K116" s="82"/>
      <c r="L116" s="20">
        <f>ROUND(K116/12,2)</f>
        <v>0</v>
      </c>
      <c r="M116" s="20">
        <f>L116*2</f>
        <v>0</v>
      </c>
      <c r="N116" s="21"/>
      <c r="O116" s="22">
        <f t="shared" si="51"/>
        <v>0</v>
      </c>
      <c r="P116" s="22">
        <f t="shared" si="72"/>
        <v>0</v>
      </c>
      <c r="Q116" s="22">
        <f t="shared" si="73"/>
        <v>0</v>
      </c>
      <c r="R116" s="23"/>
    </row>
    <row r="117" spans="1:18" ht="18.75" customHeight="1" x14ac:dyDescent="0.35">
      <c r="A117" s="145" t="s">
        <v>45</v>
      </c>
      <c r="B117" s="145" t="s">
        <v>8</v>
      </c>
      <c r="C117" s="82">
        <v>10067</v>
      </c>
      <c r="D117" s="20">
        <f>ROUND(C117/18,2)</f>
        <v>559.28</v>
      </c>
      <c r="E117" s="20"/>
      <c r="F117" s="21">
        <f>SUM(D117,E118:E119)</f>
        <v>576.93999999999994</v>
      </c>
      <c r="G117" s="81">
        <v>6928</v>
      </c>
      <c r="H117" s="20">
        <f>ROUND(G117/18,2)</f>
        <v>384.89</v>
      </c>
      <c r="I117" s="20"/>
      <c r="J117" s="21">
        <f>SUM(H117,I118:I119)</f>
        <v>399.72999999999996</v>
      </c>
      <c r="K117" s="82">
        <v>6</v>
      </c>
      <c r="L117" s="20">
        <f>ROUND(K117/18,2)</f>
        <v>0.33</v>
      </c>
      <c r="M117" s="20"/>
      <c r="N117" s="21">
        <f>SUM(L117,M118:M119)</f>
        <v>0.33</v>
      </c>
      <c r="O117" s="22">
        <f t="shared" si="51"/>
        <v>17001</v>
      </c>
      <c r="P117" s="22">
        <f>ROUND(O117/36,2)</f>
        <v>472.25</v>
      </c>
      <c r="Q117" s="22"/>
      <c r="R117" s="23">
        <f>SUM(P117,Q118:Q119)</f>
        <v>488.51</v>
      </c>
    </row>
    <row r="118" spans="1:18" ht="18.75" customHeight="1" x14ac:dyDescent="0.35">
      <c r="A118" s="145"/>
      <c r="B118" s="145" t="s">
        <v>9</v>
      </c>
      <c r="C118" s="82">
        <v>97</v>
      </c>
      <c r="D118" s="20">
        <f>ROUND(C118/12,2)</f>
        <v>8.08</v>
      </c>
      <c r="E118" s="20">
        <f>D118*2</f>
        <v>16.16</v>
      </c>
      <c r="F118" s="21"/>
      <c r="G118" s="81">
        <v>89</v>
      </c>
      <c r="H118" s="20">
        <f>ROUND(G118/12,2)</f>
        <v>7.42</v>
      </c>
      <c r="I118" s="20">
        <f>H118*2</f>
        <v>14.84</v>
      </c>
      <c r="J118" s="21"/>
      <c r="K118" s="82"/>
      <c r="L118" s="20">
        <f>ROUND(K118/12,2)</f>
        <v>0</v>
      </c>
      <c r="M118" s="20">
        <f>L118*2</f>
        <v>0</v>
      </c>
      <c r="N118" s="21"/>
      <c r="O118" s="22">
        <f t="shared" si="51"/>
        <v>186</v>
      </c>
      <c r="P118" s="22">
        <f t="shared" ref="P118:P119" si="74">ROUND(O118/24,2)</f>
        <v>7.75</v>
      </c>
      <c r="Q118" s="22">
        <f t="shared" ref="Q118:Q119" si="75">P118*2</f>
        <v>15.5</v>
      </c>
      <c r="R118" s="23"/>
    </row>
    <row r="119" spans="1:18" ht="18.75" customHeight="1" x14ac:dyDescent="0.35">
      <c r="A119" s="145"/>
      <c r="B119" s="145" t="s">
        <v>10</v>
      </c>
      <c r="C119" s="82">
        <v>9</v>
      </c>
      <c r="D119" s="20">
        <f>ROUND(C119/12,2)</f>
        <v>0.75</v>
      </c>
      <c r="E119" s="20">
        <f>D119*2</f>
        <v>1.5</v>
      </c>
      <c r="F119" s="21"/>
      <c r="G119" s="81"/>
      <c r="H119" s="20">
        <f>ROUND(G119/12,2)</f>
        <v>0</v>
      </c>
      <c r="I119" s="20">
        <f>H119*2</f>
        <v>0</v>
      </c>
      <c r="J119" s="21"/>
      <c r="K119" s="82"/>
      <c r="L119" s="20">
        <f>ROUND(K119/12,2)</f>
        <v>0</v>
      </c>
      <c r="M119" s="20">
        <f>L119*2</f>
        <v>0</v>
      </c>
      <c r="N119" s="21"/>
      <c r="O119" s="22">
        <f t="shared" si="51"/>
        <v>9</v>
      </c>
      <c r="P119" s="22">
        <f t="shared" si="74"/>
        <v>0.38</v>
      </c>
      <c r="Q119" s="22">
        <f t="shared" si="75"/>
        <v>0.76</v>
      </c>
      <c r="R119" s="23"/>
    </row>
    <row r="120" spans="1:18" ht="18.75" customHeight="1" x14ac:dyDescent="0.35">
      <c r="A120" s="145" t="s">
        <v>46</v>
      </c>
      <c r="B120" s="145" t="s">
        <v>8</v>
      </c>
      <c r="C120" s="82">
        <v>2368</v>
      </c>
      <c r="D120" s="20">
        <f>ROUND(C120/18,2)</f>
        <v>131.56</v>
      </c>
      <c r="E120" s="20"/>
      <c r="F120" s="21">
        <f>SUM(D120,E121:E122)</f>
        <v>131.56</v>
      </c>
      <c r="G120" s="81">
        <v>4535</v>
      </c>
      <c r="H120" s="20">
        <f>ROUND(G120/18,2)</f>
        <v>251.94</v>
      </c>
      <c r="I120" s="20"/>
      <c r="J120" s="21">
        <f>SUM(H120,I121:I122)</f>
        <v>251.94</v>
      </c>
      <c r="K120" s="82">
        <v>2</v>
      </c>
      <c r="L120" s="20">
        <f>ROUND(K120/18,2)</f>
        <v>0.11</v>
      </c>
      <c r="M120" s="20"/>
      <c r="N120" s="21">
        <f>SUM(L120,M121:M122)</f>
        <v>0.11</v>
      </c>
      <c r="O120" s="22">
        <f t="shared" si="51"/>
        <v>6905</v>
      </c>
      <c r="P120" s="22">
        <f>ROUND(O120/36,2)</f>
        <v>191.81</v>
      </c>
      <c r="Q120" s="22"/>
      <c r="R120" s="23">
        <f>SUM(P120,Q121:Q122)</f>
        <v>191.81</v>
      </c>
    </row>
    <row r="121" spans="1:18" ht="18.75" customHeight="1" x14ac:dyDescent="0.35">
      <c r="A121" s="145"/>
      <c r="B121" s="145" t="s">
        <v>9</v>
      </c>
      <c r="C121" s="82"/>
      <c r="D121" s="20">
        <f>ROUND(C121/12,2)</f>
        <v>0</v>
      </c>
      <c r="E121" s="20">
        <f>D121*2</f>
        <v>0</v>
      </c>
      <c r="F121" s="21"/>
      <c r="G121" s="81"/>
      <c r="H121" s="20">
        <f>ROUND(G121/12,2)</f>
        <v>0</v>
      </c>
      <c r="I121" s="20">
        <f>H121*2</f>
        <v>0</v>
      </c>
      <c r="J121" s="21"/>
      <c r="K121" s="82"/>
      <c r="L121" s="20">
        <f>ROUND(K121/12,2)</f>
        <v>0</v>
      </c>
      <c r="M121" s="20">
        <f>L121*2</f>
        <v>0</v>
      </c>
      <c r="N121" s="21"/>
      <c r="O121" s="22">
        <f t="shared" si="51"/>
        <v>0</v>
      </c>
      <c r="P121" s="22">
        <f t="shared" ref="P121:P122" si="76">ROUND(O121/24,2)</f>
        <v>0</v>
      </c>
      <c r="Q121" s="22">
        <f t="shared" ref="Q121:Q122" si="77">P121*2</f>
        <v>0</v>
      </c>
      <c r="R121" s="23"/>
    </row>
    <row r="122" spans="1:18" ht="18.75" customHeight="1" x14ac:dyDescent="0.35">
      <c r="A122" s="145"/>
      <c r="B122" s="145" t="s">
        <v>10</v>
      </c>
      <c r="C122" s="82"/>
      <c r="D122" s="20">
        <f>ROUND(C122/12,2)</f>
        <v>0</v>
      </c>
      <c r="E122" s="20">
        <f>D122*2</f>
        <v>0</v>
      </c>
      <c r="F122" s="21"/>
      <c r="G122" s="81"/>
      <c r="H122" s="20">
        <f>ROUND(G122/12,2)</f>
        <v>0</v>
      </c>
      <c r="I122" s="20">
        <f>H122*2</f>
        <v>0</v>
      </c>
      <c r="J122" s="21"/>
      <c r="K122" s="82"/>
      <c r="L122" s="20">
        <f>ROUND(K122/12,2)</f>
        <v>0</v>
      </c>
      <c r="M122" s="20">
        <f>L122*2</f>
        <v>0</v>
      </c>
      <c r="N122" s="21"/>
      <c r="O122" s="22">
        <f t="shared" si="51"/>
        <v>0</v>
      </c>
      <c r="P122" s="22">
        <f t="shared" si="76"/>
        <v>0</v>
      </c>
      <c r="Q122" s="22">
        <f t="shared" si="77"/>
        <v>0</v>
      </c>
      <c r="R122" s="23"/>
    </row>
    <row r="123" spans="1:18" ht="18.75" customHeight="1" x14ac:dyDescent="0.35">
      <c r="A123" s="145" t="s">
        <v>47</v>
      </c>
      <c r="B123" s="145" t="s">
        <v>8</v>
      </c>
      <c r="C123" s="82">
        <v>4456</v>
      </c>
      <c r="D123" s="20">
        <f>ROUND(C123/18,2)</f>
        <v>247.56</v>
      </c>
      <c r="E123" s="20"/>
      <c r="F123" s="21">
        <f>SUM(D123,E124:E125)</f>
        <v>248.56</v>
      </c>
      <c r="G123" s="81">
        <v>3556</v>
      </c>
      <c r="H123" s="20">
        <f>ROUND(G123/18,2)</f>
        <v>197.56</v>
      </c>
      <c r="I123" s="20"/>
      <c r="J123" s="21">
        <f>SUM(H123,I124:I125)</f>
        <v>197.56</v>
      </c>
      <c r="K123" s="82">
        <v>6</v>
      </c>
      <c r="L123" s="20">
        <f>ROUND(K123/18,2)</f>
        <v>0.33</v>
      </c>
      <c r="M123" s="20"/>
      <c r="N123" s="21">
        <f>SUM(L123,M124:M125)</f>
        <v>0.33</v>
      </c>
      <c r="O123" s="22">
        <f t="shared" si="51"/>
        <v>8018</v>
      </c>
      <c r="P123" s="22">
        <f>ROUND(O123/36,2)</f>
        <v>222.72</v>
      </c>
      <c r="Q123" s="22"/>
      <c r="R123" s="23">
        <f>SUM(P123,Q124:Q125)</f>
        <v>223.22</v>
      </c>
    </row>
    <row r="124" spans="1:18" ht="18.75" customHeight="1" x14ac:dyDescent="0.35">
      <c r="A124" s="145"/>
      <c r="B124" s="145" t="s">
        <v>9</v>
      </c>
      <c r="C124" s="82">
        <v>6</v>
      </c>
      <c r="D124" s="20">
        <f>ROUND(C124/12,2)</f>
        <v>0.5</v>
      </c>
      <c r="E124" s="20">
        <f>D124*2</f>
        <v>1</v>
      </c>
      <c r="F124" s="21"/>
      <c r="G124" s="81"/>
      <c r="H124" s="20">
        <f>ROUND(G124/12,2)</f>
        <v>0</v>
      </c>
      <c r="I124" s="20">
        <f>H124*2</f>
        <v>0</v>
      </c>
      <c r="J124" s="21"/>
      <c r="K124" s="82"/>
      <c r="L124" s="20">
        <f>ROUND(K124/12,2)</f>
        <v>0</v>
      </c>
      <c r="M124" s="20">
        <f>L124*2</f>
        <v>0</v>
      </c>
      <c r="N124" s="21"/>
      <c r="O124" s="22">
        <f t="shared" si="51"/>
        <v>6</v>
      </c>
      <c r="P124" s="22">
        <f t="shared" ref="P124:P125" si="78">ROUND(O124/24,2)</f>
        <v>0.25</v>
      </c>
      <c r="Q124" s="22">
        <f t="shared" ref="Q124:Q125" si="79">P124*2</f>
        <v>0.5</v>
      </c>
      <c r="R124" s="23"/>
    </row>
    <row r="125" spans="1:18" ht="18.75" customHeight="1" x14ac:dyDescent="0.35">
      <c r="A125" s="145"/>
      <c r="B125" s="145" t="s">
        <v>10</v>
      </c>
      <c r="C125" s="82"/>
      <c r="D125" s="20">
        <f>ROUND(C125/12,2)</f>
        <v>0</v>
      </c>
      <c r="E125" s="20">
        <f>D125*2</f>
        <v>0</v>
      </c>
      <c r="F125" s="21"/>
      <c r="G125" s="81"/>
      <c r="H125" s="20">
        <f>ROUND(G125/12,2)</f>
        <v>0</v>
      </c>
      <c r="I125" s="20">
        <f>H125*2</f>
        <v>0</v>
      </c>
      <c r="J125" s="21"/>
      <c r="K125" s="82"/>
      <c r="L125" s="20">
        <f>ROUND(K125/12,2)</f>
        <v>0</v>
      </c>
      <c r="M125" s="20">
        <f>L125*2</f>
        <v>0</v>
      </c>
      <c r="N125" s="21"/>
      <c r="O125" s="22">
        <f t="shared" si="51"/>
        <v>0</v>
      </c>
      <c r="P125" s="22">
        <f t="shared" si="78"/>
        <v>0</v>
      </c>
      <c r="Q125" s="22">
        <f t="shared" si="79"/>
        <v>0</v>
      </c>
      <c r="R125" s="23"/>
    </row>
    <row r="126" spans="1:18" ht="18.75" customHeight="1" x14ac:dyDescent="0.35">
      <c r="A126" s="145" t="s">
        <v>48</v>
      </c>
      <c r="B126" s="145" t="s">
        <v>8</v>
      </c>
      <c r="C126" s="82">
        <v>6632</v>
      </c>
      <c r="D126" s="20">
        <f>ROUND(C126/18,2)</f>
        <v>368.44</v>
      </c>
      <c r="E126" s="20"/>
      <c r="F126" s="21">
        <f>SUM(D126,E127:E128)</f>
        <v>385.78</v>
      </c>
      <c r="G126" s="81">
        <v>4229</v>
      </c>
      <c r="H126" s="20">
        <f>ROUND(G126/18,2)</f>
        <v>234.94</v>
      </c>
      <c r="I126" s="20"/>
      <c r="J126" s="21">
        <f>SUM(H126,I127:I128)</f>
        <v>249.1</v>
      </c>
      <c r="K126" s="82"/>
      <c r="L126" s="20">
        <f>ROUND(K126/18,2)</f>
        <v>0</v>
      </c>
      <c r="M126" s="20"/>
      <c r="N126" s="21">
        <f>SUM(L126,M127:M128)</f>
        <v>0</v>
      </c>
      <c r="O126" s="22">
        <f t="shared" si="51"/>
        <v>10861</v>
      </c>
      <c r="P126" s="22">
        <f>ROUND(O126/36,2)</f>
        <v>301.69</v>
      </c>
      <c r="Q126" s="22"/>
      <c r="R126" s="23">
        <f>SUM(P126,Q127:Q128)</f>
        <v>317.45</v>
      </c>
    </row>
    <row r="127" spans="1:18" ht="18.75" customHeight="1" x14ac:dyDescent="0.35">
      <c r="A127" s="145"/>
      <c r="B127" s="145" t="s">
        <v>9</v>
      </c>
      <c r="C127" s="82">
        <v>60</v>
      </c>
      <c r="D127" s="20">
        <f>ROUND(C127/12,2)</f>
        <v>5</v>
      </c>
      <c r="E127" s="20">
        <f>D127*2</f>
        <v>10</v>
      </c>
      <c r="F127" s="21"/>
      <c r="G127" s="81">
        <v>54</v>
      </c>
      <c r="H127" s="20">
        <f>ROUND(G127/12,2)</f>
        <v>4.5</v>
      </c>
      <c r="I127" s="20">
        <f>H127*2</f>
        <v>9</v>
      </c>
      <c r="J127" s="21"/>
      <c r="K127" s="82"/>
      <c r="L127" s="20">
        <f>ROUND(K127/12,2)</f>
        <v>0</v>
      </c>
      <c r="M127" s="20">
        <f>L127*2</f>
        <v>0</v>
      </c>
      <c r="N127" s="21"/>
      <c r="O127" s="22">
        <f t="shared" si="51"/>
        <v>114</v>
      </c>
      <c r="P127" s="22">
        <f t="shared" ref="P127:P128" si="80">ROUND(O127/24,2)</f>
        <v>4.75</v>
      </c>
      <c r="Q127" s="22">
        <f t="shared" ref="Q127:Q128" si="81">P127*2</f>
        <v>9.5</v>
      </c>
      <c r="R127" s="23"/>
    </row>
    <row r="128" spans="1:18" ht="18.75" customHeight="1" x14ac:dyDescent="0.35">
      <c r="A128" s="145"/>
      <c r="B128" s="145" t="s">
        <v>10</v>
      </c>
      <c r="C128" s="82">
        <v>44</v>
      </c>
      <c r="D128" s="20">
        <f>ROUND(C128/12,2)</f>
        <v>3.67</v>
      </c>
      <c r="E128" s="20">
        <f>D128*2</f>
        <v>7.34</v>
      </c>
      <c r="F128" s="21"/>
      <c r="G128" s="81">
        <v>31</v>
      </c>
      <c r="H128" s="20">
        <f>ROUND(G128/12,2)</f>
        <v>2.58</v>
      </c>
      <c r="I128" s="20">
        <f>H128*2</f>
        <v>5.16</v>
      </c>
      <c r="J128" s="21"/>
      <c r="K128" s="82"/>
      <c r="L128" s="20">
        <f>ROUND(K128/12,2)</f>
        <v>0</v>
      </c>
      <c r="M128" s="20">
        <f>L128*2</f>
        <v>0</v>
      </c>
      <c r="N128" s="21"/>
      <c r="O128" s="22">
        <f t="shared" si="51"/>
        <v>75</v>
      </c>
      <c r="P128" s="22">
        <f t="shared" si="80"/>
        <v>3.13</v>
      </c>
      <c r="Q128" s="22">
        <f t="shared" si="81"/>
        <v>6.26</v>
      </c>
      <c r="R128" s="23"/>
    </row>
    <row r="129" spans="1:18" ht="18.75" customHeight="1" x14ac:dyDescent="0.35">
      <c r="A129" s="145" t="s">
        <v>49</v>
      </c>
      <c r="B129" s="145" t="s">
        <v>8</v>
      </c>
      <c r="C129" s="82">
        <v>1272</v>
      </c>
      <c r="D129" s="20">
        <f>ROUND(C129/18,2)</f>
        <v>70.67</v>
      </c>
      <c r="E129" s="20"/>
      <c r="F129" s="21">
        <f>SUM(D129,E130:E131)</f>
        <v>70.67</v>
      </c>
      <c r="G129" s="81">
        <v>1816</v>
      </c>
      <c r="H129" s="20">
        <f>ROUND(G129/18,2)</f>
        <v>100.89</v>
      </c>
      <c r="I129" s="20"/>
      <c r="J129" s="21">
        <f>SUM(H129,I130:I131)</f>
        <v>100.89</v>
      </c>
      <c r="K129" s="82">
        <v>12</v>
      </c>
      <c r="L129" s="20">
        <f>ROUND(K129/18,2)</f>
        <v>0.67</v>
      </c>
      <c r="M129" s="20"/>
      <c r="N129" s="21">
        <f>SUM(L129,M130:M131)</f>
        <v>0.67</v>
      </c>
      <c r="O129" s="22">
        <f t="shared" si="51"/>
        <v>3100</v>
      </c>
      <c r="P129" s="22">
        <f>ROUND(O129/36,2)</f>
        <v>86.11</v>
      </c>
      <c r="Q129" s="22"/>
      <c r="R129" s="23">
        <f>SUM(P129,Q130:Q131)</f>
        <v>86.11</v>
      </c>
    </row>
    <row r="130" spans="1:18" ht="18.75" customHeight="1" x14ac:dyDescent="0.35">
      <c r="A130" s="145"/>
      <c r="B130" s="145" t="s">
        <v>9</v>
      </c>
      <c r="C130" s="82"/>
      <c r="D130" s="20">
        <f>ROUND(C130/12,2)</f>
        <v>0</v>
      </c>
      <c r="E130" s="20">
        <f>D130*2</f>
        <v>0</v>
      </c>
      <c r="F130" s="21"/>
      <c r="G130" s="81"/>
      <c r="H130" s="20">
        <f>ROUND(G130/12,2)</f>
        <v>0</v>
      </c>
      <c r="I130" s="20">
        <f>H130*2</f>
        <v>0</v>
      </c>
      <c r="J130" s="21"/>
      <c r="K130" s="82"/>
      <c r="L130" s="20">
        <f>ROUND(K130/12,2)</f>
        <v>0</v>
      </c>
      <c r="M130" s="20">
        <f>L130*2</f>
        <v>0</v>
      </c>
      <c r="N130" s="21"/>
      <c r="O130" s="22">
        <f t="shared" si="51"/>
        <v>0</v>
      </c>
      <c r="P130" s="22">
        <f t="shared" ref="P130:P131" si="82">ROUND(O130/24,2)</f>
        <v>0</v>
      </c>
      <c r="Q130" s="22">
        <f t="shared" ref="Q130:Q131" si="83">P130*2</f>
        <v>0</v>
      </c>
      <c r="R130" s="23"/>
    </row>
    <row r="131" spans="1:18" ht="18.75" customHeight="1" x14ac:dyDescent="0.35">
      <c r="A131" s="145"/>
      <c r="B131" s="145" t="s">
        <v>10</v>
      </c>
      <c r="C131" s="82"/>
      <c r="D131" s="20">
        <f>ROUND(C131/12,2)</f>
        <v>0</v>
      </c>
      <c r="E131" s="20">
        <f>D131*2</f>
        <v>0</v>
      </c>
      <c r="F131" s="21"/>
      <c r="G131" s="81"/>
      <c r="H131" s="20">
        <f>ROUND(G131/12,2)</f>
        <v>0</v>
      </c>
      <c r="I131" s="20">
        <f>H131*2</f>
        <v>0</v>
      </c>
      <c r="J131" s="21"/>
      <c r="K131" s="82"/>
      <c r="L131" s="20">
        <f>ROUND(K131/12,2)</f>
        <v>0</v>
      </c>
      <c r="M131" s="20">
        <f>L131*2</f>
        <v>0</v>
      </c>
      <c r="N131" s="21"/>
      <c r="O131" s="22">
        <f t="shared" si="51"/>
        <v>0</v>
      </c>
      <c r="P131" s="22">
        <f t="shared" si="82"/>
        <v>0</v>
      </c>
      <c r="Q131" s="22">
        <f t="shared" si="83"/>
        <v>0</v>
      </c>
      <c r="R131" s="23"/>
    </row>
    <row r="132" spans="1:18" ht="18.75" customHeight="1" x14ac:dyDescent="0.35">
      <c r="A132" s="145" t="s">
        <v>50</v>
      </c>
      <c r="B132" s="145" t="s">
        <v>8</v>
      </c>
      <c r="C132" s="82">
        <v>5707</v>
      </c>
      <c r="D132" s="20">
        <f>ROUND(C132/18,2)</f>
        <v>317.06</v>
      </c>
      <c r="E132" s="20"/>
      <c r="F132" s="21">
        <f>SUM(D132,E133:E134)</f>
        <v>328.9</v>
      </c>
      <c r="G132" s="81">
        <v>4752</v>
      </c>
      <c r="H132" s="20">
        <f>ROUND(G132/18,2)</f>
        <v>264</v>
      </c>
      <c r="I132" s="20"/>
      <c r="J132" s="21">
        <f>SUM(H132,I133:I134)</f>
        <v>273.83999999999997</v>
      </c>
      <c r="K132" s="82"/>
      <c r="L132" s="20">
        <f>ROUND(K132/18,2)</f>
        <v>0</v>
      </c>
      <c r="M132" s="20"/>
      <c r="N132" s="21">
        <f>SUM(L132,M133:M134)</f>
        <v>0</v>
      </c>
      <c r="O132" s="22">
        <f t="shared" si="51"/>
        <v>10459</v>
      </c>
      <c r="P132" s="22">
        <f>ROUND(O132/36,2)</f>
        <v>290.52999999999997</v>
      </c>
      <c r="Q132" s="22"/>
      <c r="R132" s="23">
        <f>SUM(P132,Q133:Q134)</f>
        <v>301.36999999999995</v>
      </c>
    </row>
    <row r="133" spans="1:18" ht="18.75" customHeight="1" x14ac:dyDescent="0.35">
      <c r="A133" s="145"/>
      <c r="B133" s="145" t="s">
        <v>9</v>
      </c>
      <c r="C133" s="82">
        <v>33</v>
      </c>
      <c r="D133" s="20">
        <f>ROUND(C133/12,2)</f>
        <v>2.75</v>
      </c>
      <c r="E133" s="20">
        <f>D133*2</f>
        <v>5.5</v>
      </c>
      <c r="F133" s="21"/>
      <c r="G133" s="81">
        <v>33</v>
      </c>
      <c r="H133" s="20">
        <f>ROUND(G133/12,2)</f>
        <v>2.75</v>
      </c>
      <c r="I133" s="20">
        <f>H133*2</f>
        <v>5.5</v>
      </c>
      <c r="J133" s="21"/>
      <c r="K133" s="82"/>
      <c r="L133" s="20">
        <f>ROUND(K133/12,2)</f>
        <v>0</v>
      </c>
      <c r="M133" s="20">
        <f>L133*2</f>
        <v>0</v>
      </c>
      <c r="N133" s="21"/>
      <c r="O133" s="22">
        <f t="shared" si="51"/>
        <v>66</v>
      </c>
      <c r="P133" s="22">
        <f t="shared" ref="P133:P134" si="84">ROUND(O133/24,2)</f>
        <v>2.75</v>
      </c>
      <c r="Q133" s="22">
        <f t="shared" ref="Q133:Q134" si="85">P133*2</f>
        <v>5.5</v>
      </c>
      <c r="R133" s="23"/>
    </row>
    <row r="134" spans="1:18" ht="18.75" customHeight="1" x14ac:dyDescent="0.35">
      <c r="A134" s="145"/>
      <c r="B134" s="145" t="s">
        <v>10</v>
      </c>
      <c r="C134" s="82">
        <v>38</v>
      </c>
      <c r="D134" s="20">
        <f>ROUND(C134/12,2)</f>
        <v>3.17</v>
      </c>
      <c r="E134" s="20">
        <f>D134*2</f>
        <v>6.34</v>
      </c>
      <c r="F134" s="21"/>
      <c r="G134" s="81">
        <v>26</v>
      </c>
      <c r="H134" s="20">
        <f>ROUND(G134/12,2)</f>
        <v>2.17</v>
      </c>
      <c r="I134" s="20">
        <f>H134*2</f>
        <v>4.34</v>
      </c>
      <c r="J134" s="21"/>
      <c r="K134" s="82"/>
      <c r="L134" s="20">
        <f>ROUND(K134/12,2)</f>
        <v>0</v>
      </c>
      <c r="M134" s="20">
        <f>L134*2</f>
        <v>0</v>
      </c>
      <c r="N134" s="21"/>
      <c r="O134" s="22">
        <f t="shared" si="51"/>
        <v>64</v>
      </c>
      <c r="P134" s="22">
        <f t="shared" si="84"/>
        <v>2.67</v>
      </c>
      <c r="Q134" s="22">
        <f t="shared" si="85"/>
        <v>5.34</v>
      </c>
      <c r="R134" s="23"/>
    </row>
    <row r="135" spans="1:18" ht="18.75" customHeight="1" x14ac:dyDescent="0.35">
      <c r="A135" s="145" t="s">
        <v>51</v>
      </c>
      <c r="B135" s="145" t="s">
        <v>8</v>
      </c>
      <c r="C135" s="82">
        <v>1845</v>
      </c>
      <c r="D135" s="20">
        <f>ROUND(C135/18,2)</f>
        <v>102.5</v>
      </c>
      <c r="E135" s="20"/>
      <c r="F135" s="21">
        <f>SUM(D135,E136:E137)</f>
        <v>113.84</v>
      </c>
      <c r="G135" s="81">
        <v>1821</v>
      </c>
      <c r="H135" s="20">
        <f>ROUND(G135/18,2)</f>
        <v>101.17</v>
      </c>
      <c r="I135" s="20"/>
      <c r="J135" s="21">
        <f>SUM(H135,I136:I137)</f>
        <v>112.17</v>
      </c>
      <c r="K135" s="82">
        <v>2</v>
      </c>
      <c r="L135" s="20">
        <f>ROUND(K135/18,2)</f>
        <v>0.11</v>
      </c>
      <c r="M135" s="20"/>
      <c r="N135" s="21">
        <f>SUM(L135,M136:M137)</f>
        <v>0.11</v>
      </c>
      <c r="O135" s="22">
        <f t="shared" si="51"/>
        <v>3668</v>
      </c>
      <c r="P135" s="22">
        <f>ROUND(O135/36,2)</f>
        <v>101.89</v>
      </c>
      <c r="Q135" s="22"/>
      <c r="R135" s="23">
        <f>SUM(P135,Q136:Q137)</f>
        <v>113.05</v>
      </c>
    </row>
    <row r="136" spans="1:18" ht="18.75" customHeight="1" x14ac:dyDescent="0.35">
      <c r="A136" s="145"/>
      <c r="B136" s="145" t="s">
        <v>9</v>
      </c>
      <c r="C136" s="82">
        <v>68</v>
      </c>
      <c r="D136" s="20">
        <f>ROUND(C136/12,2)</f>
        <v>5.67</v>
      </c>
      <c r="E136" s="20">
        <f>D136*2</f>
        <v>11.34</v>
      </c>
      <c r="F136" s="21"/>
      <c r="G136" s="81">
        <v>66</v>
      </c>
      <c r="H136" s="20">
        <f>ROUND(G136/12,2)</f>
        <v>5.5</v>
      </c>
      <c r="I136" s="20">
        <f>H136*2</f>
        <v>11</v>
      </c>
      <c r="J136" s="21"/>
      <c r="K136" s="82"/>
      <c r="L136" s="20">
        <f>ROUND(K136/12,2)</f>
        <v>0</v>
      </c>
      <c r="M136" s="20">
        <f>L136*2</f>
        <v>0</v>
      </c>
      <c r="N136" s="21"/>
      <c r="O136" s="22">
        <f t="shared" si="51"/>
        <v>134</v>
      </c>
      <c r="P136" s="22">
        <f t="shared" ref="P136:P137" si="86">ROUND(O136/24,2)</f>
        <v>5.58</v>
      </c>
      <c r="Q136" s="22">
        <f t="shared" ref="Q136:Q137" si="87">P136*2</f>
        <v>11.16</v>
      </c>
      <c r="R136" s="23"/>
    </row>
    <row r="137" spans="1:18" ht="18.75" customHeight="1" x14ac:dyDescent="0.35">
      <c r="A137" s="145"/>
      <c r="B137" s="145" t="s">
        <v>10</v>
      </c>
      <c r="C137" s="82"/>
      <c r="D137" s="20">
        <f>ROUND(C137/12,2)</f>
        <v>0</v>
      </c>
      <c r="E137" s="20">
        <f>D137*2</f>
        <v>0</v>
      </c>
      <c r="F137" s="21"/>
      <c r="G137" s="81"/>
      <c r="H137" s="20">
        <f>ROUND(G137/12,2)</f>
        <v>0</v>
      </c>
      <c r="I137" s="20">
        <f>H137*2</f>
        <v>0</v>
      </c>
      <c r="J137" s="21"/>
      <c r="K137" s="82"/>
      <c r="L137" s="20">
        <f>ROUND(K137/12,2)</f>
        <v>0</v>
      </c>
      <c r="M137" s="20">
        <f>L137*2</f>
        <v>0</v>
      </c>
      <c r="N137" s="21"/>
      <c r="O137" s="22">
        <f t="shared" si="51"/>
        <v>0</v>
      </c>
      <c r="P137" s="22">
        <f t="shared" si="86"/>
        <v>0</v>
      </c>
      <c r="Q137" s="22">
        <f t="shared" si="87"/>
        <v>0</v>
      </c>
      <c r="R137" s="23"/>
    </row>
    <row r="138" spans="1:18" ht="18.75" customHeight="1" x14ac:dyDescent="0.35">
      <c r="A138" s="145" t="s">
        <v>52</v>
      </c>
      <c r="B138" s="145" t="s">
        <v>8</v>
      </c>
      <c r="C138" s="82">
        <f>366+6741+2363</f>
        <v>9470</v>
      </c>
      <c r="D138" s="20">
        <f>ROUND(C138/18,2)</f>
        <v>526.11</v>
      </c>
      <c r="E138" s="20"/>
      <c r="F138" s="21">
        <f>SUM(D138,E139:E140)</f>
        <v>528.11</v>
      </c>
      <c r="G138" s="81">
        <f>131+1757+539+7911</f>
        <v>10338</v>
      </c>
      <c r="H138" s="20">
        <f>ROUND(G138/18,2)</f>
        <v>574.33000000000004</v>
      </c>
      <c r="I138" s="20"/>
      <c r="J138" s="21">
        <f>SUM(H138,I139:I140)</f>
        <v>576.49</v>
      </c>
      <c r="K138" s="82">
        <v>478</v>
      </c>
      <c r="L138" s="20">
        <f>ROUND(K138/18,2)</f>
        <v>26.56</v>
      </c>
      <c r="M138" s="20"/>
      <c r="N138" s="21">
        <f>SUM(L138,M139:M140)</f>
        <v>26.56</v>
      </c>
      <c r="O138" s="22">
        <f t="shared" si="51"/>
        <v>20286</v>
      </c>
      <c r="P138" s="22">
        <f>ROUND(O138/36,2)</f>
        <v>563.5</v>
      </c>
      <c r="Q138" s="22"/>
      <c r="R138" s="23">
        <f>SUM(P138,Q139:Q140)</f>
        <v>565.58000000000004</v>
      </c>
    </row>
    <row r="139" spans="1:18" ht="18.75" customHeight="1" x14ac:dyDescent="0.35">
      <c r="A139" s="145"/>
      <c r="B139" s="145" t="s">
        <v>9</v>
      </c>
      <c r="C139" s="82">
        <v>12</v>
      </c>
      <c r="D139" s="20">
        <f>ROUND(C139/12,2)</f>
        <v>1</v>
      </c>
      <c r="E139" s="20">
        <f>D139*2</f>
        <v>2</v>
      </c>
      <c r="F139" s="21"/>
      <c r="G139" s="81">
        <v>13</v>
      </c>
      <c r="H139" s="20">
        <f>ROUND(G139/12,2)</f>
        <v>1.08</v>
      </c>
      <c r="I139" s="20">
        <f>H139*2</f>
        <v>2.16</v>
      </c>
      <c r="J139" s="21"/>
      <c r="K139" s="82"/>
      <c r="L139" s="20">
        <f>ROUND(K139/12,2)</f>
        <v>0</v>
      </c>
      <c r="M139" s="20">
        <f>L139*2</f>
        <v>0</v>
      </c>
      <c r="N139" s="21"/>
      <c r="O139" s="22">
        <f t="shared" si="51"/>
        <v>25</v>
      </c>
      <c r="P139" s="22">
        <f t="shared" ref="P139:P140" si="88">ROUND(O139/24,2)</f>
        <v>1.04</v>
      </c>
      <c r="Q139" s="22">
        <f t="shared" ref="Q139:Q140" si="89">P139*2</f>
        <v>2.08</v>
      </c>
      <c r="R139" s="23"/>
    </row>
    <row r="140" spans="1:18" ht="18.75" customHeight="1" x14ac:dyDescent="0.35">
      <c r="A140" s="145"/>
      <c r="B140" s="145" t="s">
        <v>10</v>
      </c>
      <c r="C140" s="82"/>
      <c r="D140" s="20">
        <f>ROUND(C140/12,2)</f>
        <v>0</v>
      </c>
      <c r="E140" s="20">
        <f>D140*2</f>
        <v>0</v>
      </c>
      <c r="F140" s="21"/>
      <c r="G140" s="81"/>
      <c r="H140" s="20">
        <f>ROUND(G140/12,2)</f>
        <v>0</v>
      </c>
      <c r="I140" s="20">
        <f>H140*2</f>
        <v>0</v>
      </c>
      <c r="J140" s="21"/>
      <c r="K140" s="82"/>
      <c r="L140" s="20">
        <f>ROUND(K140/12,2)</f>
        <v>0</v>
      </c>
      <c r="M140" s="20">
        <f>L140*2</f>
        <v>0</v>
      </c>
      <c r="N140" s="21"/>
      <c r="O140" s="22">
        <f t="shared" si="51"/>
        <v>0</v>
      </c>
      <c r="P140" s="22">
        <f t="shared" si="88"/>
        <v>0</v>
      </c>
      <c r="Q140" s="22">
        <f t="shared" si="89"/>
        <v>0</v>
      </c>
      <c r="R140" s="23"/>
    </row>
    <row r="141" spans="1:18" ht="18.75" customHeight="1" x14ac:dyDescent="0.35">
      <c r="A141" s="145" t="s">
        <v>53</v>
      </c>
      <c r="B141" s="145" t="s">
        <v>8</v>
      </c>
      <c r="C141" s="82">
        <v>5060</v>
      </c>
      <c r="D141" s="20">
        <f>ROUND(C141/18,2)</f>
        <v>281.11</v>
      </c>
      <c r="E141" s="20"/>
      <c r="F141" s="21">
        <f>SUM(D141,E142:E143)</f>
        <v>289.61</v>
      </c>
      <c r="G141" s="81">
        <v>4789</v>
      </c>
      <c r="H141" s="20">
        <f>ROUND(G141/18,2)</f>
        <v>266.06</v>
      </c>
      <c r="I141" s="20"/>
      <c r="J141" s="21">
        <f>SUM(H141,I142:I143)</f>
        <v>272.89999999999998</v>
      </c>
      <c r="K141" s="82"/>
      <c r="L141" s="20">
        <f>ROUND(K141/18,2)</f>
        <v>0</v>
      </c>
      <c r="M141" s="20"/>
      <c r="N141" s="21">
        <f>SUM(L141,M142:M143)</f>
        <v>0</v>
      </c>
      <c r="O141" s="22">
        <f t="shared" si="51"/>
        <v>9849</v>
      </c>
      <c r="P141" s="22">
        <f>ROUND(O141/36,2)</f>
        <v>273.58</v>
      </c>
      <c r="Q141" s="22"/>
      <c r="R141" s="23">
        <f>SUM(P141,Q142:Q143)</f>
        <v>281.24</v>
      </c>
    </row>
    <row r="142" spans="1:18" ht="18.75" customHeight="1" x14ac:dyDescent="0.35">
      <c r="A142" s="145"/>
      <c r="B142" s="145" t="s">
        <v>9</v>
      </c>
      <c r="C142" s="82">
        <v>51</v>
      </c>
      <c r="D142" s="20">
        <f>ROUND(C142/12,2)</f>
        <v>4.25</v>
      </c>
      <c r="E142" s="20">
        <f>D142*2</f>
        <v>8.5</v>
      </c>
      <c r="F142" s="21"/>
      <c r="G142" s="81">
        <v>41</v>
      </c>
      <c r="H142" s="20">
        <f>ROUND(G142/12,2)</f>
        <v>3.42</v>
      </c>
      <c r="I142" s="20">
        <f>H142*2</f>
        <v>6.84</v>
      </c>
      <c r="J142" s="21"/>
      <c r="K142" s="82"/>
      <c r="L142" s="20">
        <f>ROUND(K142/12,2)</f>
        <v>0</v>
      </c>
      <c r="M142" s="20">
        <f>L142*2</f>
        <v>0</v>
      </c>
      <c r="N142" s="21"/>
      <c r="O142" s="22">
        <f t="shared" si="51"/>
        <v>92</v>
      </c>
      <c r="P142" s="22">
        <f t="shared" ref="P142:P143" si="90">ROUND(O142/24,2)</f>
        <v>3.83</v>
      </c>
      <c r="Q142" s="22">
        <f t="shared" ref="Q142:Q143" si="91">P142*2</f>
        <v>7.66</v>
      </c>
      <c r="R142" s="23"/>
    </row>
    <row r="143" spans="1:18" ht="18.75" customHeight="1" x14ac:dyDescent="0.35">
      <c r="A143" s="145"/>
      <c r="B143" s="145" t="s">
        <v>10</v>
      </c>
      <c r="C143" s="82"/>
      <c r="D143" s="20">
        <f>ROUND(C143/12,2)</f>
        <v>0</v>
      </c>
      <c r="E143" s="20">
        <f>D143*2</f>
        <v>0</v>
      </c>
      <c r="F143" s="21"/>
      <c r="G143" s="81"/>
      <c r="H143" s="20">
        <f>ROUND(G143/12,2)</f>
        <v>0</v>
      </c>
      <c r="I143" s="20">
        <f>H143*2</f>
        <v>0</v>
      </c>
      <c r="J143" s="21"/>
      <c r="K143" s="82"/>
      <c r="L143" s="20">
        <f>ROUND(K143/12,2)</f>
        <v>0</v>
      </c>
      <c r="M143" s="20">
        <f>L143*2</f>
        <v>0</v>
      </c>
      <c r="N143" s="21"/>
      <c r="O143" s="22">
        <f t="shared" si="51"/>
        <v>0</v>
      </c>
      <c r="P143" s="22">
        <f t="shared" si="90"/>
        <v>0</v>
      </c>
      <c r="Q143" s="22">
        <f t="shared" si="91"/>
        <v>0</v>
      </c>
      <c r="R143" s="23"/>
    </row>
    <row r="144" spans="1:18" ht="18.75" customHeight="1" x14ac:dyDescent="0.35">
      <c r="A144" s="173" t="s">
        <v>22</v>
      </c>
      <c r="B144" s="151" t="s">
        <v>8</v>
      </c>
      <c r="C144" s="93">
        <f>SUMIF($B$113:$B$143,"ปริญญาตรี",C113:C143)</f>
        <v>60509</v>
      </c>
      <c r="D144" s="251">
        <f>ROUND(C144/18,2)</f>
        <v>3361.61</v>
      </c>
      <c r="E144" s="251"/>
      <c r="F144" s="252">
        <f>SUM(D144,E145:E146)</f>
        <v>3431.27</v>
      </c>
      <c r="G144" s="253">
        <f>SUMIF($B$113:$B$143,"ปริญญาตรี",G113:G143)</f>
        <v>53509</v>
      </c>
      <c r="H144" s="251">
        <f>ROUND(G144/18,2)</f>
        <v>2972.72</v>
      </c>
      <c r="I144" s="251"/>
      <c r="J144" s="252">
        <f>SUM(H144,I145:I146)</f>
        <v>3031.56</v>
      </c>
      <c r="K144" s="253">
        <f>SUMIF($B$113:$B$143,"ปริญญาตรี",K113:K143)</f>
        <v>518</v>
      </c>
      <c r="L144" s="251">
        <f>ROUND(K144/18,2)</f>
        <v>28.78</v>
      </c>
      <c r="M144" s="251"/>
      <c r="N144" s="252">
        <f>SUM(L144,M145:M146)</f>
        <v>28.78</v>
      </c>
      <c r="O144" s="256">
        <f t="shared" si="51"/>
        <v>114536</v>
      </c>
      <c r="P144" s="257">
        <f>ROUND(O144/36,2)</f>
        <v>3181.56</v>
      </c>
      <c r="Q144" s="257"/>
      <c r="R144" s="258">
        <f>SUM(P144,Q145:Q146)</f>
        <v>3245.82</v>
      </c>
    </row>
    <row r="145" spans="1:18" ht="18.75" customHeight="1" x14ac:dyDescent="0.35">
      <c r="A145" s="174" t="s">
        <v>22</v>
      </c>
      <c r="B145" s="151" t="s">
        <v>9</v>
      </c>
      <c r="C145" s="93">
        <f>SUMIF($B$113:$B$143,"ปริญญาโท",C113:C143)</f>
        <v>327</v>
      </c>
      <c r="D145" s="251">
        <f>ROUND(C145/12,2)</f>
        <v>27.25</v>
      </c>
      <c r="E145" s="251">
        <f>D145*2</f>
        <v>54.5</v>
      </c>
      <c r="F145" s="252"/>
      <c r="G145" s="253">
        <f>SUMIF($B$113:$B$143,"ปริญญาโท",G113:G143)</f>
        <v>296</v>
      </c>
      <c r="H145" s="251">
        <f>ROUND(G145/12,2)</f>
        <v>24.67</v>
      </c>
      <c r="I145" s="251">
        <f>H145*2</f>
        <v>49.34</v>
      </c>
      <c r="J145" s="252"/>
      <c r="K145" s="253">
        <f>SUMIF($B$113:$B$143,"ปริญญาโท",K113:K143)</f>
        <v>0</v>
      </c>
      <c r="L145" s="251">
        <f>ROUND(K145/12,2)</f>
        <v>0</v>
      </c>
      <c r="M145" s="251">
        <f>L145*2</f>
        <v>0</v>
      </c>
      <c r="N145" s="252"/>
      <c r="O145" s="256">
        <f t="shared" ref="O145:O146" si="92">SUMIF($C$3:$N$3,"SCH",C145:N145)</f>
        <v>623</v>
      </c>
      <c r="P145" s="257">
        <f t="shared" ref="P145:P146" si="93">ROUND(O145/24,2)</f>
        <v>25.96</v>
      </c>
      <c r="Q145" s="257">
        <f t="shared" ref="Q145:Q146" si="94">P145*2</f>
        <v>51.92</v>
      </c>
      <c r="R145" s="258"/>
    </row>
    <row r="146" spans="1:18" ht="18.75" customHeight="1" thickBot="1" x14ac:dyDescent="0.4">
      <c r="A146" s="175" t="s">
        <v>22</v>
      </c>
      <c r="B146" s="152" t="s">
        <v>10</v>
      </c>
      <c r="C146" s="94">
        <f>SUMIF($B$113:$B$143,"ปริญญาเอก",C113:C143)</f>
        <v>91</v>
      </c>
      <c r="D146" s="259">
        <f>ROUND(C146/12,2)</f>
        <v>7.58</v>
      </c>
      <c r="E146" s="259">
        <f>D146*2</f>
        <v>15.16</v>
      </c>
      <c r="F146" s="260"/>
      <c r="G146" s="261">
        <f>SUMIF($B$113:$B$143,"ปริญญาเอก",G113:G143)</f>
        <v>57</v>
      </c>
      <c r="H146" s="259">
        <f>ROUND(G146/12,2)</f>
        <v>4.75</v>
      </c>
      <c r="I146" s="259">
        <f>H146*2</f>
        <v>9.5</v>
      </c>
      <c r="J146" s="260"/>
      <c r="K146" s="261">
        <f>SUMIF($B$113:$B$143,"ปริญญาเอก",K113:K143)</f>
        <v>0</v>
      </c>
      <c r="L146" s="259">
        <f>ROUND(K146/12,2)</f>
        <v>0</v>
      </c>
      <c r="M146" s="259">
        <f>L146*2</f>
        <v>0</v>
      </c>
      <c r="N146" s="260"/>
      <c r="O146" s="262">
        <f t="shared" si="92"/>
        <v>148</v>
      </c>
      <c r="P146" s="263">
        <f t="shared" si="93"/>
        <v>6.17</v>
      </c>
      <c r="Q146" s="263">
        <f t="shared" si="94"/>
        <v>12.34</v>
      </c>
      <c r="R146" s="264"/>
    </row>
    <row r="147" spans="1:18" ht="18.75" customHeight="1" x14ac:dyDescent="0.35">
      <c r="A147" s="148" t="s">
        <v>54</v>
      </c>
      <c r="B147" s="150"/>
      <c r="C147" s="80"/>
      <c r="D147" s="28"/>
      <c r="E147" s="28"/>
      <c r="F147" s="29"/>
      <c r="G147" s="79"/>
      <c r="H147" s="28"/>
      <c r="I147" s="28"/>
      <c r="J147" s="29"/>
      <c r="K147" s="80"/>
      <c r="L147" s="28"/>
      <c r="M147" s="28"/>
      <c r="N147" s="29"/>
      <c r="O147" s="66"/>
      <c r="P147" s="30"/>
      <c r="Q147" s="30"/>
      <c r="R147" s="31"/>
    </row>
    <row r="148" spans="1:18" ht="18.75" customHeight="1" x14ac:dyDescent="0.35">
      <c r="A148" s="145" t="s">
        <v>7</v>
      </c>
      <c r="B148" s="145" t="s">
        <v>8</v>
      </c>
      <c r="C148" s="82">
        <v>11372</v>
      </c>
      <c r="D148" s="20">
        <f>ROUND(C148/18,2)</f>
        <v>631.78</v>
      </c>
      <c r="E148" s="20"/>
      <c r="F148" s="21">
        <f>SUM(D148,E149:E150)</f>
        <v>649.19999999999993</v>
      </c>
      <c r="G148" s="81">
        <v>9149</v>
      </c>
      <c r="H148" s="20">
        <f>ROUND(G148/18,2)</f>
        <v>508.28</v>
      </c>
      <c r="I148" s="20"/>
      <c r="J148" s="21">
        <f>SUM(H148,I149:I150)</f>
        <v>524.28</v>
      </c>
      <c r="K148" s="82"/>
      <c r="L148" s="20">
        <f>ROUND(K148/18,2)</f>
        <v>0</v>
      </c>
      <c r="M148" s="20"/>
      <c r="N148" s="21">
        <f>SUM(L148,M149:M150)</f>
        <v>0</v>
      </c>
      <c r="O148" s="22">
        <f t="shared" ref="O148:O207" si="95">SUMIF($C$3:$N$3,"SCH",C148:N148)</f>
        <v>20521</v>
      </c>
      <c r="P148" s="22">
        <f>ROUND(O148/36,2)</f>
        <v>570.03</v>
      </c>
      <c r="Q148" s="22"/>
      <c r="R148" s="23">
        <f>SUM(P148,Q149:Q150)</f>
        <v>586.74</v>
      </c>
    </row>
    <row r="149" spans="1:18" ht="18.75" customHeight="1" x14ac:dyDescent="0.35">
      <c r="A149" s="163"/>
      <c r="B149" s="145" t="s">
        <v>9</v>
      </c>
      <c r="C149" s="82">
        <v>111</v>
      </c>
      <c r="D149" s="20">
        <f>ROUND(C149/12,2)</f>
        <v>9.25</v>
      </c>
      <c r="E149" s="20">
        <f>D149*1</f>
        <v>9.25</v>
      </c>
      <c r="F149" s="21"/>
      <c r="G149" s="81">
        <v>99</v>
      </c>
      <c r="H149" s="20">
        <f>ROUND(G149/12,2)</f>
        <v>8.25</v>
      </c>
      <c r="I149" s="20">
        <f>H149*1</f>
        <v>8.25</v>
      </c>
      <c r="J149" s="21"/>
      <c r="K149" s="82"/>
      <c r="L149" s="20">
        <f>ROUND(K149/12,2)</f>
        <v>0</v>
      </c>
      <c r="M149" s="20">
        <f>L149*1</f>
        <v>0</v>
      </c>
      <c r="N149" s="21"/>
      <c r="O149" s="22">
        <f t="shared" si="95"/>
        <v>210</v>
      </c>
      <c r="P149" s="22">
        <f t="shared" ref="P149:P150" si="96">ROUND(O149/24,2)</f>
        <v>8.75</v>
      </c>
      <c r="Q149" s="22">
        <f t="shared" ref="Q149:Q150" si="97">P149*1</f>
        <v>8.75</v>
      </c>
      <c r="R149" s="23"/>
    </row>
    <row r="150" spans="1:18" ht="18.75" customHeight="1" thickBot="1" x14ac:dyDescent="0.4">
      <c r="A150" s="164"/>
      <c r="B150" s="146" t="s">
        <v>10</v>
      </c>
      <c r="C150" s="84">
        <v>98</v>
      </c>
      <c r="D150" s="24">
        <f>ROUND(C150/12,2)</f>
        <v>8.17</v>
      </c>
      <c r="E150" s="24">
        <f>D150*1</f>
        <v>8.17</v>
      </c>
      <c r="F150" s="25"/>
      <c r="G150" s="83">
        <v>93</v>
      </c>
      <c r="H150" s="24">
        <f>ROUND(G150/12,2)</f>
        <v>7.75</v>
      </c>
      <c r="I150" s="24">
        <f>H150*1</f>
        <v>7.75</v>
      </c>
      <c r="J150" s="25"/>
      <c r="K150" s="84"/>
      <c r="L150" s="24">
        <f>ROUND(K150/12,2)</f>
        <v>0</v>
      </c>
      <c r="M150" s="24">
        <f>L150*1</f>
        <v>0</v>
      </c>
      <c r="N150" s="25"/>
      <c r="O150" s="92">
        <f t="shared" si="95"/>
        <v>191</v>
      </c>
      <c r="P150" s="26">
        <f t="shared" si="96"/>
        <v>7.96</v>
      </c>
      <c r="Q150" s="26">
        <f t="shared" si="97"/>
        <v>7.96</v>
      </c>
      <c r="R150" s="27"/>
    </row>
    <row r="151" spans="1:18" ht="18.75" customHeight="1" x14ac:dyDescent="0.35">
      <c r="A151" s="148" t="s">
        <v>55</v>
      </c>
      <c r="B151" s="149"/>
      <c r="C151" s="80"/>
      <c r="D151" s="28"/>
      <c r="E151" s="28"/>
      <c r="F151" s="29"/>
      <c r="G151" s="79"/>
      <c r="H151" s="28"/>
      <c r="I151" s="28"/>
      <c r="J151" s="29"/>
      <c r="K151" s="80"/>
      <c r="L151" s="28"/>
      <c r="M151" s="28"/>
      <c r="N151" s="29"/>
      <c r="O151" s="30"/>
      <c r="P151" s="30"/>
      <c r="Q151" s="30"/>
      <c r="R151" s="31"/>
    </row>
    <row r="152" spans="1:18" ht="18.75" customHeight="1" x14ac:dyDescent="0.35">
      <c r="A152" s="145" t="s">
        <v>56</v>
      </c>
      <c r="B152" s="145" t="s">
        <v>8</v>
      </c>
      <c r="C152" s="82">
        <f>4364+507</f>
        <v>4871</v>
      </c>
      <c r="D152" s="20">
        <f>ROUND(C152/18,2)</f>
        <v>270.61</v>
      </c>
      <c r="E152" s="20"/>
      <c r="F152" s="21">
        <f>SUM(D152,E153:E154)</f>
        <v>270.61</v>
      </c>
      <c r="G152" s="81">
        <f>5057+61</f>
        <v>5118</v>
      </c>
      <c r="H152" s="20">
        <f>ROUND(G152/18,2)</f>
        <v>284.33</v>
      </c>
      <c r="I152" s="20"/>
      <c r="J152" s="21">
        <f>SUM(H152,I153:I154)</f>
        <v>284.33</v>
      </c>
      <c r="K152" s="82">
        <f>217+1</f>
        <v>218</v>
      </c>
      <c r="L152" s="20">
        <f>ROUND(K152/18,2)</f>
        <v>12.11</v>
      </c>
      <c r="M152" s="20"/>
      <c r="N152" s="21">
        <f>SUM(L152,M153:M154)</f>
        <v>12.11</v>
      </c>
      <c r="O152" s="22">
        <f t="shared" si="95"/>
        <v>10207</v>
      </c>
      <c r="P152" s="22">
        <f>ROUND(O152/36,2)</f>
        <v>283.52999999999997</v>
      </c>
      <c r="Q152" s="22"/>
      <c r="R152" s="23">
        <f>SUM(P152,Q153:Q154)</f>
        <v>283.52999999999997</v>
      </c>
    </row>
    <row r="153" spans="1:18" ht="18.75" customHeight="1" x14ac:dyDescent="0.35">
      <c r="A153" s="145"/>
      <c r="B153" s="145" t="s">
        <v>9</v>
      </c>
      <c r="C153" s="82"/>
      <c r="D153" s="20">
        <f>ROUND(C153/12,2)</f>
        <v>0</v>
      </c>
      <c r="E153" s="20">
        <f>D153*2</f>
        <v>0</v>
      </c>
      <c r="F153" s="21"/>
      <c r="G153" s="81"/>
      <c r="H153" s="20">
        <f>ROUND(G153/12,2)</f>
        <v>0</v>
      </c>
      <c r="I153" s="20">
        <f>H153*2</f>
        <v>0</v>
      </c>
      <c r="J153" s="21"/>
      <c r="K153" s="82"/>
      <c r="L153" s="20">
        <f>ROUND(K153/12,2)</f>
        <v>0</v>
      </c>
      <c r="M153" s="20">
        <f>L153*2</f>
        <v>0</v>
      </c>
      <c r="N153" s="21"/>
      <c r="O153" s="22">
        <f t="shared" si="95"/>
        <v>0</v>
      </c>
      <c r="P153" s="22">
        <f t="shared" ref="P153:P154" si="98">ROUND(O153/24,2)</f>
        <v>0</v>
      </c>
      <c r="Q153" s="22">
        <f t="shared" ref="Q153:Q154" si="99">P153*2</f>
        <v>0</v>
      </c>
      <c r="R153" s="23"/>
    </row>
    <row r="154" spans="1:18" ht="18.75" customHeight="1" x14ac:dyDescent="0.35">
      <c r="A154" s="145"/>
      <c r="B154" s="145" t="s">
        <v>10</v>
      </c>
      <c r="C154" s="82"/>
      <c r="D154" s="20">
        <f>ROUND(C154/12,2)</f>
        <v>0</v>
      </c>
      <c r="E154" s="20">
        <f>D154*2</f>
        <v>0</v>
      </c>
      <c r="F154" s="21"/>
      <c r="G154" s="81"/>
      <c r="H154" s="20">
        <f>ROUND(G154/12,2)</f>
        <v>0</v>
      </c>
      <c r="I154" s="20">
        <f>H154*2</f>
        <v>0</v>
      </c>
      <c r="J154" s="21"/>
      <c r="K154" s="82"/>
      <c r="L154" s="20">
        <f>ROUND(K154/12,2)</f>
        <v>0</v>
      </c>
      <c r="M154" s="20">
        <f>L154*2</f>
        <v>0</v>
      </c>
      <c r="N154" s="21"/>
      <c r="O154" s="22">
        <f t="shared" si="95"/>
        <v>0</v>
      </c>
      <c r="P154" s="22">
        <f t="shared" si="98"/>
        <v>0</v>
      </c>
      <c r="Q154" s="22">
        <f t="shared" si="99"/>
        <v>0</v>
      </c>
      <c r="R154" s="23"/>
    </row>
    <row r="155" spans="1:18" ht="18.75" customHeight="1" x14ac:dyDescent="0.35">
      <c r="A155" s="145" t="s">
        <v>57</v>
      </c>
      <c r="B155" s="145" t="s">
        <v>8</v>
      </c>
      <c r="C155" s="82">
        <v>1338</v>
      </c>
      <c r="D155" s="20">
        <f>ROUND(C155/18,2)</f>
        <v>74.33</v>
      </c>
      <c r="E155" s="20"/>
      <c r="F155" s="21">
        <f>SUM(D155,E156:E157)</f>
        <v>101.17</v>
      </c>
      <c r="G155" s="81">
        <v>1666</v>
      </c>
      <c r="H155" s="20">
        <f>ROUND(G155/18,2)</f>
        <v>92.56</v>
      </c>
      <c r="I155" s="20"/>
      <c r="J155" s="21">
        <f>SUM(H155,I156:I157)</f>
        <v>115.4</v>
      </c>
      <c r="K155" s="82">
        <v>41</v>
      </c>
      <c r="L155" s="20">
        <f>ROUND(K155/18,2)</f>
        <v>2.2799999999999998</v>
      </c>
      <c r="M155" s="20"/>
      <c r="N155" s="21">
        <f>SUM(L155,M156:M157)</f>
        <v>2.2799999999999998</v>
      </c>
      <c r="O155" s="22">
        <f t="shared" si="95"/>
        <v>3045</v>
      </c>
      <c r="P155" s="22">
        <f>ROUND(O155/36,2)</f>
        <v>84.58</v>
      </c>
      <c r="Q155" s="22"/>
      <c r="R155" s="23">
        <f>SUM(P155,Q156:Q157)</f>
        <v>109.42</v>
      </c>
    </row>
    <row r="156" spans="1:18" ht="18.75" customHeight="1" x14ac:dyDescent="0.35">
      <c r="A156" s="145"/>
      <c r="B156" s="145" t="s">
        <v>9</v>
      </c>
      <c r="C156" s="82">
        <v>161</v>
      </c>
      <c r="D156" s="20">
        <f>ROUND(C156/12,2)</f>
        <v>13.42</v>
      </c>
      <c r="E156" s="20">
        <f>D156*2</f>
        <v>26.84</v>
      </c>
      <c r="F156" s="21"/>
      <c r="G156" s="81">
        <v>137</v>
      </c>
      <c r="H156" s="20">
        <f>ROUND(G156/12,2)</f>
        <v>11.42</v>
      </c>
      <c r="I156" s="20">
        <f>H156*2</f>
        <v>22.84</v>
      </c>
      <c r="J156" s="21"/>
      <c r="K156" s="82"/>
      <c r="L156" s="20">
        <f>ROUND(K156/12,2)</f>
        <v>0</v>
      </c>
      <c r="M156" s="20">
        <f>L156*2</f>
        <v>0</v>
      </c>
      <c r="N156" s="21"/>
      <c r="O156" s="22">
        <f t="shared" si="95"/>
        <v>298</v>
      </c>
      <c r="P156" s="22">
        <f t="shared" ref="P156:P157" si="100">ROUND(O156/24,2)</f>
        <v>12.42</v>
      </c>
      <c r="Q156" s="22">
        <f t="shared" ref="Q156:Q157" si="101">P156*2</f>
        <v>24.84</v>
      </c>
      <c r="R156" s="23"/>
    </row>
    <row r="157" spans="1:18" ht="18.75" customHeight="1" x14ac:dyDescent="0.35">
      <c r="A157" s="145"/>
      <c r="B157" s="145" t="s">
        <v>10</v>
      </c>
      <c r="C157" s="82"/>
      <c r="D157" s="20">
        <f>ROUND(C157/12,2)</f>
        <v>0</v>
      </c>
      <c r="E157" s="20">
        <f>D157*2</f>
        <v>0</v>
      </c>
      <c r="F157" s="21"/>
      <c r="G157" s="81"/>
      <c r="H157" s="20">
        <f>ROUND(G157/12,2)</f>
        <v>0</v>
      </c>
      <c r="I157" s="20">
        <f>H157*2</f>
        <v>0</v>
      </c>
      <c r="J157" s="21"/>
      <c r="K157" s="82"/>
      <c r="L157" s="20">
        <f>ROUND(K157/12,2)</f>
        <v>0</v>
      </c>
      <c r="M157" s="20">
        <f>L157*2</f>
        <v>0</v>
      </c>
      <c r="N157" s="21"/>
      <c r="O157" s="22">
        <f t="shared" si="95"/>
        <v>0</v>
      </c>
      <c r="P157" s="22">
        <f t="shared" si="100"/>
        <v>0</v>
      </c>
      <c r="Q157" s="22">
        <f t="shared" si="101"/>
        <v>0</v>
      </c>
      <c r="R157" s="23"/>
    </row>
    <row r="158" spans="1:18" ht="18.75" customHeight="1" x14ac:dyDescent="0.35">
      <c r="A158" s="145" t="s">
        <v>58</v>
      </c>
      <c r="B158" s="145" t="s">
        <v>8</v>
      </c>
      <c r="C158" s="82">
        <v>7832</v>
      </c>
      <c r="D158" s="20">
        <f>ROUND(C158/18,2)</f>
        <v>435.11</v>
      </c>
      <c r="E158" s="20"/>
      <c r="F158" s="21">
        <f>SUM(D158,E159:E160)</f>
        <v>441.11</v>
      </c>
      <c r="G158" s="81">
        <v>6839</v>
      </c>
      <c r="H158" s="20">
        <f>ROUND(G158/18,2)</f>
        <v>379.94</v>
      </c>
      <c r="I158" s="20"/>
      <c r="J158" s="21">
        <f>SUM(H158,I159:I160)</f>
        <v>384.94</v>
      </c>
      <c r="K158" s="82">
        <v>60</v>
      </c>
      <c r="L158" s="20">
        <f>ROUND(K158/18,2)</f>
        <v>3.33</v>
      </c>
      <c r="M158" s="20"/>
      <c r="N158" s="21">
        <f>SUM(L158,M159:M160)</f>
        <v>3.33</v>
      </c>
      <c r="O158" s="22">
        <f t="shared" si="95"/>
        <v>14731</v>
      </c>
      <c r="P158" s="22">
        <f>ROUND(O158/36,2)</f>
        <v>409.19</v>
      </c>
      <c r="Q158" s="22"/>
      <c r="R158" s="23">
        <f>SUM(P158,Q159:Q160)</f>
        <v>414.71</v>
      </c>
    </row>
    <row r="159" spans="1:18" ht="18.75" customHeight="1" x14ac:dyDescent="0.35">
      <c r="A159" s="145"/>
      <c r="B159" s="145" t="s">
        <v>9</v>
      </c>
      <c r="C159" s="82">
        <v>9</v>
      </c>
      <c r="D159" s="20">
        <f>ROUND(C159/12,2)</f>
        <v>0.75</v>
      </c>
      <c r="E159" s="20">
        <f>D159*2</f>
        <v>1.5</v>
      </c>
      <c r="F159" s="21"/>
      <c r="G159" s="81"/>
      <c r="H159" s="20">
        <f>ROUND(G159/12,2)</f>
        <v>0</v>
      </c>
      <c r="I159" s="20">
        <f>H159*2</f>
        <v>0</v>
      </c>
      <c r="J159" s="21"/>
      <c r="K159" s="82"/>
      <c r="L159" s="20">
        <f>ROUND(K159/12,2)</f>
        <v>0</v>
      </c>
      <c r="M159" s="20">
        <f>L159*2</f>
        <v>0</v>
      </c>
      <c r="N159" s="21"/>
      <c r="O159" s="22">
        <f t="shared" si="95"/>
        <v>9</v>
      </c>
      <c r="P159" s="22">
        <f t="shared" ref="P159:P160" si="102">ROUND(O159/24,2)</f>
        <v>0.38</v>
      </c>
      <c r="Q159" s="22">
        <f t="shared" ref="Q159:Q160" si="103">P159*2</f>
        <v>0.76</v>
      </c>
      <c r="R159" s="23"/>
    </row>
    <row r="160" spans="1:18" ht="18.75" customHeight="1" x14ac:dyDescent="0.35">
      <c r="A160" s="145"/>
      <c r="B160" s="145" t="s">
        <v>10</v>
      </c>
      <c r="C160" s="82">
        <v>27</v>
      </c>
      <c r="D160" s="20">
        <f>ROUND(C160/12,2)</f>
        <v>2.25</v>
      </c>
      <c r="E160" s="20">
        <f>D160*2</f>
        <v>4.5</v>
      </c>
      <c r="F160" s="21"/>
      <c r="G160" s="81">
        <v>30</v>
      </c>
      <c r="H160" s="20">
        <f>ROUND(G160/12,2)</f>
        <v>2.5</v>
      </c>
      <c r="I160" s="20">
        <f>H160*2</f>
        <v>5</v>
      </c>
      <c r="J160" s="21"/>
      <c r="K160" s="82"/>
      <c r="L160" s="20">
        <f>ROUND(K160/12,2)</f>
        <v>0</v>
      </c>
      <c r="M160" s="20">
        <f>L160*2</f>
        <v>0</v>
      </c>
      <c r="N160" s="21"/>
      <c r="O160" s="22">
        <f t="shared" si="95"/>
        <v>57</v>
      </c>
      <c r="P160" s="22">
        <f t="shared" si="102"/>
        <v>2.38</v>
      </c>
      <c r="Q160" s="22">
        <f t="shared" si="103"/>
        <v>4.76</v>
      </c>
      <c r="R160" s="23"/>
    </row>
    <row r="161" spans="1:18" ht="18.75" customHeight="1" x14ac:dyDescent="0.35">
      <c r="A161" s="145" t="s">
        <v>59</v>
      </c>
      <c r="B161" s="145" t="s">
        <v>8</v>
      </c>
      <c r="C161" s="82">
        <v>7311</v>
      </c>
      <c r="D161" s="20">
        <f>ROUND(C161/18,2)</f>
        <v>406.17</v>
      </c>
      <c r="E161" s="20"/>
      <c r="F161" s="21">
        <f>SUM(D161,E162:E163)</f>
        <v>406.17</v>
      </c>
      <c r="G161" s="81">
        <v>8362</v>
      </c>
      <c r="H161" s="20">
        <f>ROUND(G161/18,2)</f>
        <v>464.56</v>
      </c>
      <c r="I161" s="20"/>
      <c r="J161" s="21">
        <f>SUM(H161,I162:I163)</f>
        <v>464.56</v>
      </c>
      <c r="K161" s="82">
        <v>775</v>
      </c>
      <c r="L161" s="20">
        <f>ROUND(K161/18,2)</f>
        <v>43.06</v>
      </c>
      <c r="M161" s="20"/>
      <c r="N161" s="21">
        <f>SUM(L161,M162:M163)</f>
        <v>43.06</v>
      </c>
      <c r="O161" s="22">
        <f t="shared" si="95"/>
        <v>16448</v>
      </c>
      <c r="P161" s="22">
        <f>ROUND(O161/36,2)</f>
        <v>456.89</v>
      </c>
      <c r="Q161" s="22"/>
      <c r="R161" s="23">
        <f>SUM(P161,Q162:Q163)</f>
        <v>456.89</v>
      </c>
    </row>
    <row r="162" spans="1:18" ht="18.75" customHeight="1" x14ac:dyDescent="0.35">
      <c r="A162" s="145"/>
      <c r="B162" s="145" t="s">
        <v>9</v>
      </c>
      <c r="C162" s="82"/>
      <c r="D162" s="20">
        <f>ROUND(C162/12,2)</f>
        <v>0</v>
      </c>
      <c r="E162" s="20">
        <f>D162*2</f>
        <v>0</v>
      </c>
      <c r="F162" s="21"/>
      <c r="G162" s="81"/>
      <c r="H162" s="20">
        <f>ROUND(G162/12,2)</f>
        <v>0</v>
      </c>
      <c r="I162" s="20">
        <f>H162*2</f>
        <v>0</v>
      </c>
      <c r="J162" s="21"/>
      <c r="K162" s="82"/>
      <c r="L162" s="20">
        <f>ROUND(K162/12,2)</f>
        <v>0</v>
      </c>
      <c r="M162" s="20">
        <f>L162*2</f>
        <v>0</v>
      </c>
      <c r="N162" s="21"/>
      <c r="O162" s="22">
        <f t="shared" si="95"/>
        <v>0</v>
      </c>
      <c r="P162" s="22">
        <f t="shared" ref="P162:P163" si="104">ROUND(O162/24,2)</f>
        <v>0</v>
      </c>
      <c r="Q162" s="22">
        <f t="shared" ref="Q162:Q163" si="105">P162*2</f>
        <v>0</v>
      </c>
      <c r="R162" s="23"/>
    </row>
    <row r="163" spans="1:18" ht="18.75" customHeight="1" x14ac:dyDescent="0.35">
      <c r="A163" s="145"/>
      <c r="B163" s="145" t="s">
        <v>10</v>
      </c>
      <c r="C163" s="82"/>
      <c r="D163" s="20">
        <f>ROUND(C163/12,2)</f>
        <v>0</v>
      </c>
      <c r="E163" s="20">
        <f>D163*2</f>
        <v>0</v>
      </c>
      <c r="F163" s="21"/>
      <c r="G163" s="81"/>
      <c r="H163" s="20">
        <f>ROUND(G163/12,2)</f>
        <v>0</v>
      </c>
      <c r="I163" s="20">
        <f>H163*2</f>
        <v>0</v>
      </c>
      <c r="J163" s="21"/>
      <c r="K163" s="82"/>
      <c r="L163" s="20">
        <f>ROUND(K163/12,2)</f>
        <v>0</v>
      </c>
      <c r="M163" s="20">
        <f>L163*2</f>
        <v>0</v>
      </c>
      <c r="N163" s="21"/>
      <c r="O163" s="22">
        <f t="shared" si="95"/>
        <v>0</v>
      </c>
      <c r="P163" s="22">
        <f t="shared" si="104"/>
        <v>0</v>
      </c>
      <c r="Q163" s="22">
        <f t="shared" si="105"/>
        <v>0</v>
      </c>
      <c r="R163" s="23"/>
    </row>
    <row r="164" spans="1:18" ht="18.75" customHeight="1" x14ac:dyDescent="0.35">
      <c r="A164" s="145" t="s">
        <v>60</v>
      </c>
      <c r="B164" s="145" t="s">
        <v>8</v>
      </c>
      <c r="C164" s="82">
        <v>6389</v>
      </c>
      <c r="D164" s="20">
        <f>ROUND(C164/18,2)</f>
        <v>354.94</v>
      </c>
      <c r="E164" s="20"/>
      <c r="F164" s="21">
        <f>SUM(D164,E165:E166)</f>
        <v>373.61999999999995</v>
      </c>
      <c r="G164" s="81">
        <v>5864</v>
      </c>
      <c r="H164" s="20">
        <f>ROUND(G164/18,2)</f>
        <v>325.77999999999997</v>
      </c>
      <c r="I164" s="20"/>
      <c r="J164" s="21">
        <f>SUM(H164,I165:I166)</f>
        <v>346.11999999999995</v>
      </c>
      <c r="K164" s="82">
        <v>111</v>
      </c>
      <c r="L164" s="20">
        <f>ROUND(K164/18,2)</f>
        <v>6.17</v>
      </c>
      <c r="M164" s="20"/>
      <c r="N164" s="21">
        <f>SUM(L164,M165:M166)</f>
        <v>6.17</v>
      </c>
      <c r="O164" s="22">
        <f t="shared" si="95"/>
        <v>12364</v>
      </c>
      <c r="P164" s="22">
        <f>ROUND(O164/36,2)</f>
        <v>343.44</v>
      </c>
      <c r="Q164" s="22"/>
      <c r="R164" s="23">
        <f>SUM(P164,Q165:Q166)</f>
        <v>362.94</v>
      </c>
    </row>
    <row r="165" spans="1:18" ht="18.75" customHeight="1" x14ac:dyDescent="0.35">
      <c r="A165" s="145"/>
      <c r="B165" s="145" t="s">
        <v>9</v>
      </c>
      <c r="C165" s="82">
        <v>77</v>
      </c>
      <c r="D165" s="20">
        <f>ROUND(C165/12,2)</f>
        <v>6.42</v>
      </c>
      <c r="E165" s="20">
        <f>D165*2</f>
        <v>12.84</v>
      </c>
      <c r="F165" s="21"/>
      <c r="G165" s="81">
        <v>77</v>
      </c>
      <c r="H165" s="20">
        <f>ROUND(G165/12,2)</f>
        <v>6.42</v>
      </c>
      <c r="I165" s="20">
        <f>H165*2</f>
        <v>12.84</v>
      </c>
      <c r="J165" s="21"/>
      <c r="K165" s="82"/>
      <c r="L165" s="20">
        <f>ROUND(K165/12,2)</f>
        <v>0</v>
      </c>
      <c r="M165" s="20">
        <f>L165*2</f>
        <v>0</v>
      </c>
      <c r="N165" s="21"/>
      <c r="O165" s="22">
        <f t="shared" si="95"/>
        <v>154</v>
      </c>
      <c r="P165" s="22">
        <f t="shared" ref="P165:P166" si="106">ROUND(O165/24,2)</f>
        <v>6.42</v>
      </c>
      <c r="Q165" s="22">
        <f t="shared" ref="Q165:Q166" si="107">P165*2</f>
        <v>12.84</v>
      </c>
      <c r="R165" s="23"/>
    </row>
    <row r="166" spans="1:18" ht="18.75" customHeight="1" x14ac:dyDescent="0.35">
      <c r="A166" s="145"/>
      <c r="B166" s="145" t="s">
        <v>10</v>
      </c>
      <c r="C166" s="82">
        <v>35</v>
      </c>
      <c r="D166" s="20">
        <f>ROUND(C166/12,2)</f>
        <v>2.92</v>
      </c>
      <c r="E166" s="20">
        <f>D166*2</f>
        <v>5.84</v>
      </c>
      <c r="F166" s="21"/>
      <c r="G166" s="81">
        <v>45</v>
      </c>
      <c r="H166" s="20">
        <f>ROUND(G166/12,2)</f>
        <v>3.75</v>
      </c>
      <c r="I166" s="20">
        <f>H166*2</f>
        <v>7.5</v>
      </c>
      <c r="J166" s="21"/>
      <c r="K166" s="82"/>
      <c r="L166" s="20">
        <f>ROUND(K166/12,2)</f>
        <v>0</v>
      </c>
      <c r="M166" s="20">
        <f>L166*2</f>
        <v>0</v>
      </c>
      <c r="N166" s="21"/>
      <c r="O166" s="22">
        <f t="shared" si="95"/>
        <v>80</v>
      </c>
      <c r="P166" s="22">
        <f t="shared" si="106"/>
        <v>3.33</v>
      </c>
      <c r="Q166" s="22">
        <f t="shared" si="107"/>
        <v>6.66</v>
      </c>
      <c r="R166" s="23"/>
    </row>
    <row r="167" spans="1:18" ht="18.75" customHeight="1" x14ac:dyDescent="0.35">
      <c r="A167" s="145" t="s">
        <v>61</v>
      </c>
      <c r="B167" s="145" t="s">
        <v>8</v>
      </c>
      <c r="C167" s="82">
        <v>1407</v>
      </c>
      <c r="D167" s="20">
        <f>ROUND(C167/18,2)</f>
        <v>78.17</v>
      </c>
      <c r="E167" s="20"/>
      <c r="F167" s="21">
        <f>SUM(D167,E168:E169)</f>
        <v>78.17</v>
      </c>
      <c r="G167" s="81">
        <v>2860</v>
      </c>
      <c r="H167" s="20">
        <f>ROUND(G167/18,2)</f>
        <v>158.88999999999999</v>
      </c>
      <c r="I167" s="20"/>
      <c r="J167" s="21">
        <f>SUM(H167,I168:I169)</f>
        <v>158.88999999999999</v>
      </c>
      <c r="K167" s="82">
        <v>89</v>
      </c>
      <c r="L167" s="20">
        <f>ROUND(K167/18,2)</f>
        <v>4.9400000000000004</v>
      </c>
      <c r="M167" s="20"/>
      <c r="N167" s="21">
        <f>SUM(L167,M168:M169)</f>
        <v>4.9400000000000004</v>
      </c>
      <c r="O167" s="22">
        <f t="shared" si="95"/>
        <v>4356</v>
      </c>
      <c r="P167" s="22">
        <f>ROUND(O167/36,2)</f>
        <v>121</v>
      </c>
      <c r="Q167" s="22"/>
      <c r="R167" s="23">
        <f>SUM(P167,Q168:Q169)</f>
        <v>121</v>
      </c>
    </row>
    <row r="168" spans="1:18" ht="18.75" customHeight="1" x14ac:dyDescent="0.35">
      <c r="A168" s="145"/>
      <c r="B168" s="145" t="s">
        <v>9</v>
      </c>
      <c r="C168" s="82"/>
      <c r="D168" s="20">
        <f>ROUND(C168/12,2)</f>
        <v>0</v>
      </c>
      <c r="E168" s="20">
        <f>D168*2</f>
        <v>0</v>
      </c>
      <c r="F168" s="21"/>
      <c r="G168" s="81"/>
      <c r="H168" s="20">
        <f>ROUND(G168/12,2)</f>
        <v>0</v>
      </c>
      <c r="I168" s="20">
        <f>H168*2</f>
        <v>0</v>
      </c>
      <c r="J168" s="21"/>
      <c r="K168" s="82"/>
      <c r="L168" s="20">
        <f>ROUND(K168/12,2)</f>
        <v>0</v>
      </c>
      <c r="M168" s="20">
        <f>L168*2</f>
        <v>0</v>
      </c>
      <c r="N168" s="21"/>
      <c r="O168" s="22">
        <f t="shared" si="95"/>
        <v>0</v>
      </c>
      <c r="P168" s="22">
        <f t="shared" ref="P168:P169" si="108">ROUND(O168/24,2)</f>
        <v>0</v>
      </c>
      <c r="Q168" s="22">
        <f t="shared" ref="Q168:Q169" si="109">P168*2</f>
        <v>0</v>
      </c>
      <c r="R168" s="23"/>
    </row>
    <row r="169" spans="1:18" ht="18.75" customHeight="1" x14ac:dyDescent="0.35">
      <c r="A169" s="145"/>
      <c r="B169" s="145" t="s">
        <v>10</v>
      </c>
      <c r="C169" s="82"/>
      <c r="D169" s="20">
        <f>ROUND(C169/12,2)</f>
        <v>0</v>
      </c>
      <c r="E169" s="20">
        <f>D169*2</f>
        <v>0</v>
      </c>
      <c r="F169" s="21"/>
      <c r="G169" s="81"/>
      <c r="H169" s="20">
        <f>ROUND(G169/12,2)</f>
        <v>0</v>
      </c>
      <c r="I169" s="20">
        <f>H169*2</f>
        <v>0</v>
      </c>
      <c r="J169" s="21"/>
      <c r="K169" s="82"/>
      <c r="L169" s="20">
        <f>ROUND(K169/12,2)</f>
        <v>0</v>
      </c>
      <c r="M169" s="20">
        <f>L169*2</f>
        <v>0</v>
      </c>
      <c r="N169" s="21"/>
      <c r="O169" s="22">
        <f t="shared" si="95"/>
        <v>0</v>
      </c>
      <c r="P169" s="22">
        <f t="shared" si="108"/>
        <v>0</v>
      </c>
      <c r="Q169" s="22">
        <f t="shared" si="109"/>
        <v>0</v>
      </c>
      <c r="R169" s="23"/>
    </row>
    <row r="170" spans="1:18" ht="18.75" customHeight="1" x14ac:dyDescent="0.35">
      <c r="A170" s="173" t="s">
        <v>22</v>
      </c>
      <c r="B170" s="151" t="s">
        <v>8</v>
      </c>
      <c r="C170" s="93">
        <f>SUMIF($B$151:$B$169,"ปริญญาตรี",C151:C169)</f>
        <v>29148</v>
      </c>
      <c r="D170" s="251">
        <f>ROUND(C170/18,2)</f>
        <v>1619.33</v>
      </c>
      <c r="E170" s="251"/>
      <c r="F170" s="252">
        <f>SUM(D170,E171:E172)</f>
        <v>1670.83</v>
      </c>
      <c r="G170" s="253">
        <f>SUMIF($B$151:$B$169,"ปริญญาตรี",G151:G169)</f>
        <v>30709</v>
      </c>
      <c r="H170" s="251">
        <f>ROUND(G170/18,2)</f>
        <v>1706.06</v>
      </c>
      <c r="I170" s="251"/>
      <c r="J170" s="252">
        <f>SUM(H170,I171:I172)</f>
        <v>1754.22</v>
      </c>
      <c r="K170" s="253">
        <f>SUMIF($B$151:$B$169,"ปริญญาตรี",K151:K169)</f>
        <v>1294</v>
      </c>
      <c r="L170" s="251">
        <f>ROUND(K170/18,2)</f>
        <v>71.89</v>
      </c>
      <c r="M170" s="251"/>
      <c r="N170" s="252">
        <f>SUM(L170,M171:M172)</f>
        <v>71.89</v>
      </c>
      <c r="O170" s="256">
        <f t="shared" si="95"/>
        <v>61151</v>
      </c>
      <c r="P170" s="257">
        <f>ROUND(O170/36,2)</f>
        <v>1698.64</v>
      </c>
      <c r="Q170" s="257"/>
      <c r="R170" s="258">
        <f>SUM(P170,Q171:Q172)</f>
        <v>1748.4800000000002</v>
      </c>
    </row>
    <row r="171" spans="1:18" ht="18.75" customHeight="1" x14ac:dyDescent="0.35">
      <c r="A171" s="174" t="s">
        <v>22</v>
      </c>
      <c r="B171" s="151" t="s">
        <v>9</v>
      </c>
      <c r="C171" s="93">
        <f>SUMIF($B$151:$B$169,"ปริญญาโท",C151:C169)</f>
        <v>247</v>
      </c>
      <c r="D171" s="251">
        <f>ROUND(C171/12,2)</f>
        <v>20.58</v>
      </c>
      <c r="E171" s="251">
        <f>D171*2</f>
        <v>41.16</v>
      </c>
      <c r="F171" s="252"/>
      <c r="G171" s="253">
        <f>SUMIF($B$151:$B$169,"ปริญญาโท",G151:G169)</f>
        <v>214</v>
      </c>
      <c r="H171" s="251">
        <f>ROUND(G171/12,2)</f>
        <v>17.829999999999998</v>
      </c>
      <c r="I171" s="251">
        <f>H171*2</f>
        <v>35.659999999999997</v>
      </c>
      <c r="J171" s="252"/>
      <c r="K171" s="253">
        <f>SUMIF($B$151:$B$169,"ปริญญาโท",K151:K169)</f>
        <v>0</v>
      </c>
      <c r="L171" s="251">
        <f>ROUND(K171/12,2)</f>
        <v>0</v>
      </c>
      <c r="M171" s="251">
        <f>L171*2</f>
        <v>0</v>
      </c>
      <c r="N171" s="252"/>
      <c r="O171" s="256">
        <f t="shared" si="95"/>
        <v>461</v>
      </c>
      <c r="P171" s="257">
        <f t="shared" ref="P171:P172" si="110">ROUND(O171/24,2)</f>
        <v>19.21</v>
      </c>
      <c r="Q171" s="257">
        <f t="shared" ref="Q171:Q172" si="111">P171*2</f>
        <v>38.42</v>
      </c>
      <c r="R171" s="258"/>
    </row>
    <row r="172" spans="1:18" ht="18.75" customHeight="1" thickBot="1" x14ac:dyDescent="0.4">
      <c r="A172" s="175" t="s">
        <v>22</v>
      </c>
      <c r="B172" s="152" t="s">
        <v>10</v>
      </c>
      <c r="C172" s="94">
        <f>SUMIF($B$151:$B$169,"ปริญญาเอก",C151:C169)</f>
        <v>62</v>
      </c>
      <c r="D172" s="259">
        <f>ROUND(C172/12,2)</f>
        <v>5.17</v>
      </c>
      <c r="E172" s="259">
        <f>D172*2</f>
        <v>10.34</v>
      </c>
      <c r="F172" s="260"/>
      <c r="G172" s="261">
        <f>SUMIF($B$151:$B$169,"ปริญญาเอก",G151:G169)</f>
        <v>75</v>
      </c>
      <c r="H172" s="259">
        <f>ROUND(G172/12,2)</f>
        <v>6.25</v>
      </c>
      <c r="I172" s="259">
        <f>H172*2</f>
        <v>12.5</v>
      </c>
      <c r="J172" s="260"/>
      <c r="K172" s="261">
        <f>SUMIF($B$151:$B$169,"ปริญญาเอก",K151:K169)</f>
        <v>0</v>
      </c>
      <c r="L172" s="259">
        <f>ROUND(K172/12,2)</f>
        <v>0</v>
      </c>
      <c r="M172" s="259">
        <f>L172*2</f>
        <v>0</v>
      </c>
      <c r="N172" s="260"/>
      <c r="O172" s="262">
        <f t="shared" si="95"/>
        <v>137</v>
      </c>
      <c r="P172" s="263">
        <f t="shared" si="110"/>
        <v>5.71</v>
      </c>
      <c r="Q172" s="263">
        <f t="shared" si="111"/>
        <v>11.42</v>
      </c>
      <c r="R172" s="264"/>
    </row>
    <row r="173" spans="1:18" ht="18.75" customHeight="1" x14ac:dyDescent="0.35">
      <c r="A173" s="148" t="s">
        <v>62</v>
      </c>
      <c r="B173" s="149"/>
      <c r="C173" s="80"/>
      <c r="D173" s="28"/>
      <c r="E173" s="28"/>
      <c r="F173" s="29"/>
      <c r="G173" s="79"/>
      <c r="H173" s="28"/>
      <c r="I173" s="28"/>
      <c r="J173" s="29"/>
      <c r="K173" s="80"/>
      <c r="L173" s="28"/>
      <c r="M173" s="28"/>
      <c r="N173" s="29"/>
      <c r="O173" s="66"/>
      <c r="P173" s="30"/>
      <c r="Q173" s="30"/>
      <c r="R173" s="31"/>
    </row>
    <row r="174" spans="1:18" ht="18.75" customHeight="1" x14ac:dyDescent="0.35">
      <c r="A174" s="145" t="s">
        <v>7</v>
      </c>
      <c r="B174" s="145" t="s">
        <v>8</v>
      </c>
      <c r="C174" s="82">
        <v>8130</v>
      </c>
      <c r="D174" s="20">
        <f>ROUND(C174/18,2)</f>
        <v>451.67</v>
      </c>
      <c r="E174" s="20"/>
      <c r="F174" s="21">
        <f>SUM(D174,E175:E176)</f>
        <v>569.12</v>
      </c>
      <c r="G174" s="81">
        <v>8125</v>
      </c>
      <c r="H174" s="20">
        <f>ROUND(G174/18,2)</f>
        <v>451.39</v>
      </c>
      <c r="I174" s="20"/>
      <c r="J174" s="21">
        <f>SUM(H174,I175:I176)</f>
        <v>571.09</v>
      </c>
      <c r="K174" s="82"/>
      <c r="L174" s="20">
        <f>ROUND(K174/18,2)</f>
        <v>0</v>
      </c>
      <c r="M174" s="20"/>
      <c r="N174" s="21">
        <f>SUM(L174,M175:M176)</f>
        <v>0</v>
      </c>
      <c r="O174" s="22">
        <f t="shared" si="95"/>
        <v>16255</v>
      </c>
      <c r="P174" s="22">
        <f>ROUND(O174/36,2)</f>
        <v>451.53</v>
      </c>
      <c r="Q174" s="22"/>
      <c r="R174" s="23">
        <f>SUM(P174,Q175:Q176)</f>
        <v>570.11400000000003</v>
      </c>
    </row>
    <row r="175" spans="1:18" ht="18.75" customHeight="1" x14ac:dyDescent="0.35">
      <c r="A175" s="176"/>
      <c r="B175" s="145" t="s">
        <v>9</v>
      </c>
      <c r="C175" s="82">
        <v>66</v>
      </c>
      <c r="D175" s="20">
        <f>ROUND(C175/12,2)</f>
        <v>5.5</v>
      </c>
      <c r="E175" s="20">
        <f>D175*1.8</f>
        <v>9.9</v>
      </c>
      <c r="F175" s="21"/>
      <c r="G175" s="81">
        <v>102</v>
      </c>
      <c r="H175" s="20">
        <f>ROUND(G175/12,2)</f>
        <v>8.5</v>
      </c>
      <c r="I175" s="20">
        <f>H175*1.8</f>
        <v>15.3</v>
      </c>
      <c r="J175" s="21"/>
      <c r="K175" s="82"/>
      <c r="L175" s="20">
        <f>ROUND(K175/12,2)</f>
        <v>0</v>
      </c>
      <c r="M175" s="20">
        <f>L175*1.8</f>
        <v>0</v>
      </c>
      <c r="N175" s="21"/>
      <c r="O175" s="22">
        <f t="shared" si="95"/>
        <v>168</v>
      </c>
      <c r="P175" s="22">
        <f t="shared" ref="P175:P176" si="112">ROUND(O175/24,2)</f>
        <v>7</v>
      </c>
      <c r="Q175" s="22">
        <f t="shared" ref="Q175:Q176" si="113">P175*1.8</f>
        <v>12.6</v>
      </c>
      <c r="R175" s="23"/>
    </row>
    <row r="176" spans="1:18" ht="18.75" customHeight="1" thickBot="1" x14ac:dyDescent="0.4">
      <c r="A176" s="164"/>
      <c r="B176" s="146" t="s">
        <v>10</v>
      </c>
      <c r="C176" s="84">
        <v>717</v>
      </c>
      <c r="D176" s="24">
        <f>ROUND(C176/12,2)</f>
        <v>59.75</v>
      </c>
      <c r="E176" s="24">
        <f>D176*1.8</f>
        <v>107.55</v>
      </c>
      <c r="F176" s="25"/>
      <c r="G176" s="83">
        <v>696</v>
      </c>
      <c r="H176" s="24">
        <f>ROUND(G176/12,2)</f>
        <v>58</v>
      </c>
      <c r="I176" s="24">
        <f>H176*1.8</f>
        <v>104.4</v>
      </c>
      <c r="J176" s="25"/>
      <c r="K176" s="84"/>
      <c r="L176" s="24">
        <f>ROUND(K176/12,2)</f>
        <v>0</v>
      </c>
      <c r="M176" s="24">
        <f>L176*1.8</f>
        <v>0</v>
      </c>
      <c r="N176" s="25"/>
      <c r="O176" s="92">
        <f t="shared" si="95"/>
        <v>1413</v>
      </c>
      <c r="P176" s="26">
        <f t="shared" si="112"/>
        <v>58.88</v>
      </c>
      <c r="Q176" s="26">
        <f t="shared" si="113"/>
        <v>105.98400000000001</v>
      </c>
      <c r="R176" s="27"/>
    </row>
    <row r="177" spans="1:19" ht="18.75" customHeight="1" x14ac:dyDescent="0.35">
      <c r="A177" s="148" t="s">
        <v>63</v>
      </c>
      <c r="B177" s="149"/>
      <c r="C177" s="80"/>
      <c r="D177" s="28"/>
      <c r="E177" s="28"/>
      <c r="F177" s="29"/>
      <c r="G177" s="79"/>
      <c r="H177" s="28"/>
      <c r="I177" s="28"/>
      <c r="J177" s="29"/>
      <c r="K177" s="80"/>
      <c r="L177" s="28"/>
      <c r="M177" s="28"/>
      <c r="N177" s="29"/>
      <c r="O177" s="30"/>
      <c r="P177" s="30"/>
      <c r="Q177" s="30"/>
      <c r="R177" s="31"/>
      <c r="S177" s="67"/>
    </row>
    <row r="178" spans="1:19" ht="18.75" customHeight="1" x14ac:dyDescent="0.35">
      <c r="A178" s="153" t="s">
        <v>7</v>
      </c>
      <c r="B178" s="153" t="s">
        <v>8</v>
      </c>
      <c r="C178" s="82">
        <v>2399</v>
      </c>
      <c r="D178" s="20">
        <f>ROUND(C178/18,2)</f>
        <v>133.28</v>
      </c>
      <c r="E178" s="20"/>
      <c r="F178" s="21">
        <f>SUM(D178,E179:E181)</f>
        <v>133.28</v>
      </c>
      <c r="G178" s="285">
        <v>1851</v>
      </c>
      <c r="H178" s="20">
        <f>ROUND(G178/18,2)</f>
        <v>102.83</v>
      </c>
      <c r="I178" s="20"/>
      <c r="J178" s="21">
        <f>SUM(H178,I179:I181)</f>
        <v>102.83</v>
      </c>
      <c r="K178" s="82">
        <v>2</v>
      </c>
      <c r="L178" s="20">
        <f>ROUND(K178/18,2)</f>
        <v>0.11</v>
      </c>
      <c r="M178" s="20"/>
      <c r="N178" s="21">
        <f>SUM(L178,M179:M181)</f>
        <v>0.11</v>
      </c>
      <c r="O178" s="22">
        <f t="shared" si="95"/>
        <v>4252</v>
      </c>
      <c r="P178" s="22">
        <f>ROUND(O178/36,2)</f>
        <v>118.11</v>
      </c>
      <c r="Q178" s="22"/>
      <c r="R178" s="23">
        <f>SUM(P178,Q179:Q181)</f>
        <v>118.11</v>
      </c>
    </row>
    <row r="179" spans="1:19" ht="18.75" customHeight="1" x14ac:dyDescent="0.35">
      <c r="A179" s="172"/>
      <c r="B179" s="145" t="s">
        <v>64</v>
      </c>
      <c r="C179" s="82">
        <v>0</v>
      </c>
      <c r="D179" s="20">
        <f>ROUND(C179/12,2)</f>
        <v>0</v>
      </c>
      <c r="E179" s="20">
        <f>D179*1.5</f>
        <v>0</v>
      </c>
      <c r="F179" s="21"/>
      <c r="G179" s="285">
        <v>0</v>
      </c>
      <c r="H179" s="20">
        <f>ROUND(G179/12,2)</f>
        <v>0</v>
      </c>
      <c r="I179" s="20">
        <f>H179*1.5</f>
        <v>0</v>
      </c>
      <c r="J179" s="21"/>
      <c r="K179" s="82">
        <v>0</v>
      </c>
      <c r="L179" s="20">
        <f>ROUND(K179/12,2)</f>
        <v>0</v>
      </c>
      <c r="M179" s="20">
        <f>L179*1.5</f>
        <v>0</v>
      </c>
      <c r="N179" s="21"/>
      <c r="O179" s="22">
        <f t="shared" si="95"/>
        <v>0</v>
      </c>
      <c r="P179" s="22">
        <f>ROUND(O179/24,2)</f>
        <v>0</v>
      </c>
      <c r="Q179" s="22">
        <f>P179*1.5</f>
        <v>0</v>
      </c>
      <c r="R179" s="23"/>
    </row>
    <row r="180" spans="1:19" ht="18.75" customHeight="1" x14ac:dyDescent="0.35">
      <c r="A180" s="145"/>
      <c r="B180" s="145" t="s">
        <v>9</v>
      </c>
      <c r="C180" s="82">
        <v>0</v>
      </c>
      <c r="D180" s="20">
        <f>ROUND(C180/12,2)</f>
        <v>0</v>
      </c>
      <c r="E180" s="20">
        <f>D180*1.5</f>
        <v>0</v>
      </c>
      <c r="F180" s="21"/>
      <c r="G180" s="285">
        <v>0</v>
      </c>
      <c r="H180" s="20">
        <f>ROUND(G180/12,2)</f>
        <v>0</v>
      </c>
      <c r="I180" s="20">
        <f>H180*1.5</f>
        <v>0</v>
      </c>
      <c r="J180" s="21"/>
      <c r="K180" s="82">
        <v>0</v>
      </c>
      <c r="L180" s="20">
        <f>ROUND(K180/12,2)</f>
        <v>0</v>
      </c>
      <c r="M180" s="20">
        <f>L180*1.5</f>
        <v>0</v>
      </c>
      <c r="N180" s="21"/>
      <c r="O180" s="22">
        <f t="shared" si="95"/>
        <v>0</v>
      </c>
      <c r="P180" s="22">
        <f>ROUND(O180/24,2)</f>
        <v>0</v>
      </c>
      <c r="Q180" s="22">
        <f>P180*1.5</f>
        <v>0</v>
      </c>
      <c r="R180" s="23"/>
    </row>
    <row r="181" spans="1:19" ht="18.75" customHeight="1" x14ac:dyDescent="0.35">
      <c r="A181" s="145"/>
      <c r="B181" s="145" t="s">
        <v>10</v>
      </c>
      <c r="C181" s="82">
        <v>0</v>
      </c>
      <c r="D181" s="20">
        <f>ROUND(C181/12,2)</f>
        <v>0</v>
      </c>
      <c r="E181" s="20">
        <f>D181*1.5</f>
        <v>0</v>
      </c>
      <c r="F181" s="21"/>
      <c r="G181" s="285">
        <v>0</v>
      </c>
      <c r="H181" s="20">
        <f>ROUND(G181/12,2)</f>
        <v>0</v>
      </c>
      <c r="I181" s="20">
        <f>H181*1.5</f>
        <v>0</v>
      </c>
      <c r="J181" s="21"/>
      <c r="K181" s="82">
        <v>0</v>
      </c>
      <c r="L181" s="20">
        <f>ROUND(K181/12,2)</f>
        <v>0</v>
      </c>
      <c r="M181" s="20">
        <f>L181*1.5</f>
        <v>0</v>
      </c>
      <c r="N181" s="21"/>
      <c r="O181" s="22">
        <f t="shared" si="95"/>
        <v>0</v>
      </c>
      <c r="P181" s="22">
        <f>ROUND(O181/24,2)</f>
        <v>0</v>
      </c>
      <c r="Q181" s="22">
        <f>P181*1.5</f>
        <v>0</v>
      </c>
      <c r="R181" s="23"/>
    </row>
    <row r="182" spans="1:19" ht="18.75" customHeight="1" x14ac:dyDescent="0.35">
      <c r="A182" s="145" t="s">
        <v>65</v>
      </c>
      <c r="B182" s="145" t="s">
        <v>8</v>
      </c>
      <c r="C182" s="82">
        <v>11586</v>
      </c>
      <c r="D182" s="20">
        <f>ROUND(C182/18,2)</f>
        <v>643.66999999999996</v>
      </c>
      <c r="E182" s="20"/>
      <c r="F182" s="21">
        <f>SUM(D182,E183:E185)</f>
        <v>666.42499999999995</v>
      </c>
      <c r="G182" s="285">
        <v>13075</v>
      </c>
      <c r="H182" s="20">
        <f>ROUND(G182/18,2)</f>
        <v>726.39</v>
      </c>
      <c r="I182" s="20"/>
      <c r="J182" s="21">
        <f>SUM(H182,I183:I185)</f>
        <v>762.51</v>
      </c>
      <c r="K182" s="82">
        <v>8</v>
      </c>
      <c r="L182" s="20">
        <f>ROUND(K182/18,2)</f>
        <v>0.44</v>
      </c>
      <c r="M182" s="20"/>
      <c r="N182" s="21">
        <f>SUM(L182,M183:M185)</f>
        <v>0.44</v>
      </c>
      <c r="O182" s="22">
        <f t="shared" si="95"/>
        <v>24669</v>
      </c>
      <c r="P182" s="22">
        <f>ROUND(O182/36,2)</f>
        <v>685.25</v>
      </c>
      <c r="Q182" s="22"/>
      <c r="R182" s="23">
        <f>SUM(P182,Q183:Q185)</f>
        <v>714.69500000000005</v>
      </c>
    </row>
    <row r="183" spans="1:19" ht="18.75" customHeight="1" x14ac:dyDescent="0.35">
      <c r="A183" s="145"/>
      <c r="B183" s="145" t="s">
        <v>64</v>
      </c>
      <c r="C183" s="82">
        <v>0</v>
      </c>
      <c r="D183" s="20">
        <f>ROUND(C183/12,2)</f>
        <v>0</v>
      </c>
      <c r="E183" s="20">
        <f>D183*1.5</f>
        <v>0</v>
      </c>
      <c r="F183" s="21"/>
      <c r="G183" s="285">
        <v>0</v>
      </c>
      <c r="H183" s="20">
        <f>ROUND(G183/12,2)</f>
        <v>0</v>
      </c>
      <c r="I183" s="20">
        <f>H183*1.5</f>
        <v>0</v>
      </c>
      <c r="J183" s="21"/>
      <c r="K183" s="82">
        <v>0</v>
      </c>
      <c r="L183" s="20">
        <f>ROUND(K183/12,2)</f>
        <v>0</v>
      </c>
      <c r="M183" s="20">
        <f>L183*1.5</f>
        <v>0</v>
      </c>
      <c r="N183" s="21"/>
      <c r="O183" s="22">
        <f t="shared" si="95"/>
        <v>0</v>
      </c>
      <c r="P183" s="22">
        <f t="shared" ref="P183:P185" si="114">ROUND(O183/24,2)</f>
        <v>0</v>
      </c>
      <c r="Q183" s="22">
        <f t="shared" ref="Q183:Q185" si="115">P183*1.5</f>
        <v>0</v>
      </c>
      <c r="R183" s="23"/>
    </row>
    <row r="184" spans="1:19" ht="18.75" customHeight="1" x14ac:dyDescent="0.35">
      <c r="A184" s="145"/>
      <c r="B184" s="145" t="s">
        <v>9</v>
      </c>
      <c r="C184" s="82">
        <v>155</v>
      </c>
      <c r="D184" s="20">
        <f>ROUND(C184/12,2)</f>
        <v>12.92</v>
      </c>
      <c r="E184" s="20">
        <f>D184*1.5</f>
        <v>19.38</v>
      </c>
      <c r="F184" s="21"/>
      <c r="G184" s="285">
        <v>271</v>
      </c>
      <c r="H184" s="20">
        <f>ROUND(G184/12,2)</f>
        <v>22.58</v>
      </c>
      <c r="I184" s="20">
        <f>H184*1.5</f>
        <v>33.869999999999997</v>
      </c>
      <c r="J184" s="21"/>
      <c r="K184" s="82">
        <v>0</v>
      </c>
      <c r="L184" s="20">
        <f>ROUND(K184/12,2)</f>
        <v>0</v>
      </c>
      <c r="M184" s="20">
        <f>L184*1.5</f>
        <v>0</v>
      </c>
      <c r="N184" s="21"/>
      <c r="O184" s="22">
        <f t="shared" si="95"/>
        <v>426</v>
      </c>
      <c r="P184" s="22">
        <f t="shared" si="114"/>
        <v>17.75</v>
      </c>
      <c r="Q184" s="22">
        <f t="shared" si="115"/>
        <v>26.625</v>
      </c>
      <c r="R184" s="23"/>
    </row>
    <row r="185" spans="1:19" ht="18.75" customHeight="1" x14ac:dyDescent="0.35">
      <c r="A185" s="145"/>
      <c r="B185" s="145" t="s">
        <v>10</v>
      </c>
      <c r="C185" s="82">
        <v>27</v>
      </c>
      <c r="D185" s="20">
        <f>ROUND(C185/12,2)</f>
        <v>2.25</v>
      </c>
      <c r="E185" s="20">
        <f>D185*1.5</f>
        <v>3.375</v>
      </c>
      <c r="F185" s="21"/>
      <c r="G185" s="285">
        <v>18</v>
      </c>
      <c r="H185" s="20">
        <f>ROUND(G185/12,2)</f>
        <v>1.5</v>
      </c>
      <c r="I185" s="20">
        <f>H185*1.5</f>
        <v>2.25</v>
      </c>
      <c r="J185" s="21"/>
      <c r="K185" s="82">
        <v>0</v>
      </c>
      <c r="L185" s="20">
        <f>ROUND(K185/12,2)</f>
        <v>0</v>
      </c>
      <c r="M185" s="20">
        <f>L185*1.5</f>
        <v>0</v>
      </c>
      <c r="N185" s="21"/>
      <c r="O185" s="22">
        <f t="shared" si="95"/>
        <v>45</v>
      </c>
      <c r="P185" s="22">
        <f t="shared" si="114"/>
        <v>1.88</v>
      </c>
      <c r="Q185" s="22">
        <f t="shared" si="115"/>
        <v>2.82</v>
      </c>
      <c r="R185" s="23"/>
    </row>
    <row r="186" spans="1:19" ht="18.75" customHeight="1" x14ac:dyDescent="0.35">
      <c r="A186" s="145" t="s">
        <v>66</v>
      </c>
      <c r="B186" s="145" t="s">
        <v>8</v>
      </c>
      <c r="C186" s="82">
        <v>321</v>
      </c>
      <c r="D186" s="20">
        <f>ROUND(C186/18,2)</f>
        <v>17.829999999999998</v>
      </c>
      <c r="E186" s="20"/>
      <c r="F186" s="21">
        <f>SUM(D186,E187:E189)</f>
        <v>60.204999999999998</v>
      </c>
      <c r="G186" s="285">
        <v>753</v>
      </c>
      <c r="H186" s="20">
        <f>ROUND(G186/18,2)</f>
        <v>41.83</v>
      </c>
      <c r="I186" s="20"/>
      <c r="J186" s="21">
        <f>SUM(H186,I187:I189)</f>
        <v>79.33</v>
      </c>
      <c r="K186" s="82">
        <v>0</v>
      </c>
      <c r="L186" s="20">
        <f>ROUND(K186/18,2)</f>
        <v>0</v>
      </c>
      <c r="M186" s="20"/>
      <c r="N186" s="21">
        <f>SUM(L186,M187:M189)</f>
        <v>1.875</v>
      </c>
      <c r="O186" s="22">
        <f t="shared" si="95"/>
        <v>1074</v>
      </c>
      <c r="P186" s="22">
        <f>ROUND(O186/36,2)</f>
        <v>29.83</v>
      </c>
      <c r="Q186" s="22"/>
      <c r="R186" s="23">
        <f>SUM(P186,Q187:Q189)</f>
        <v>70.72</v>
      </c>
    </row>
    <row r="187" spans="1:19" ht="18.75" customHeight="1" x14ac:dyDescent="0.35">
      <c r="A187" s="145"/>
      <c r="B187" s="145" t="s">
        <v>64</v>
      </c>
      <c r="C187" s="82"/>
      <c r="D187" s="20">
        <f>ROUND(C187/12,2)</f>
        <v>0</v>
      </c>
      <c r="E187" s="20">
        <f>D187*1.5</f>
        <v>0</v>
      </c>
      <c r="F187" s="21"/>
      <c r="G187" s="285">
        <v>0</v>
      </c>
      <c r="H187" s="20">
        <f>ROUND(G187/12,2)</f>
        <v>0</v>
      </c>
      <c r="I187" s="20">
        <f>H187*1.5</f>
        <v>0</v>
      </c>
      <c r="J187" s="21"/>
      <c r="K187" s="82">
        <v>0</v>
      </c>
      <c r="L187" s="20">
        <f>ROUND(K187/12,2)</f>
        <v>0</v>
      </c>
      <c r="M187" s="20">
        <f>L187*1.5</f>
        <v>0</v>
      </c>
      <c r="N187" s="21"/>
      <c r="O187" s="22">
        <f t="shared" si="95"/>
        <v>0</v>
      </c>
      <c r="P187" s="22">
        <f>ROUND(O187/24,2)</f>
        <v>0</v>
      </c>
      <c r="Q187" s="22">
        <f>P187*1.5</f>
        <v>0</v>
      </c>
      <c r="R187" s="23"/>
    </row>
    <row r="188" spans="1:19" ht="18.75" customHeight="1" x14ac:dyDescent="0.35">
      <c r="A188" s="145"/>
      <c r="B188" s="145" t="s">
        <v>9</v>
      </c>
      <c r="C188" s="82">
        <v>60</v>
      </c>
      <c r="D188" s="20">
        <f>ROUND(C188/12,2)</f>
        <v>5</v>
      </c>
      <c r="E188" s="20">
        <f>D188*1.5</f>
        <v>7.5</v>
      </c>
      <c r="F188" s="21"/>
      <c r="G188" s="285">
        <v>60</v>
      </c>
      <c r="H188" s="20">
        <f>ROUND(G188/12,2)</f>
        <v>5</v>
      </c>
      <c r="I188" s="20">
        <f>H188*1.5</f>
        <v>7.5</v>
      </c>
      <c r="J188" s="21"/>
      <c r="K188" s="82">
        <v>15</v>
      </c>
      <c r="L188" s="20">
        <f>ROUND(K188/12,2)</f>
        <v>1.25</v>
      </c>
      <c r="M188" s="20">
        <f>L188*1.5</f>
        <v>1.875</v>
      </c>
      <c r="N188" s="21"/>
      <c r="O188" s="22">
        <f t="shared" si="95"/>
        <v>135</v>
      </c>
      <c r="P188" s="22">
        <f>ROUND(O188/24,2)</f>
        <v>5.63</v>
      </c>
      <c r="Q188" s="22">
        <f>P188*1.5</f>
        <v>8.4450000000000003</v>
      </c>
      <c r="R188" s="23"/>
    </row>
    <row r="189" spans="1:19" ht="18.75" customHeight="1" x14ac:dyDescent="0.35">
      <c r="A189" s="154"/>
      <c r="B189" s="154" t="s">
        <v>10</v>
      </c>
      <c r="C189" s="82">
        <v>279</v>
      </c>
      <c r="D189" s="20">
        <f>ROUND(C189/12,2)</f>
        <v>23.25</v>
      </c>
      <c r="E189" s="20">
        <f>D189*1.5</f>
        <v>34.875</v>
      </c>
      <c r="F189" s="21"/>
      <c r="G189" s="285">
        <v>240</v>
      </c>
      <c r="H189" s="20">
        <f>ROUND(G189/12,2)</f>
        <v>20</v>
      </c>
      <c r="I189" s="20">
        <f>H189*1.5</f>
        <v>30</v>
      </c>
      <c r="J189" s="21"/>
      <c r="K189" s="82">
        <v>0</v>
      </c>
      <c r="L189" s="20">
        <f>ROUND(K189/12,2)</f>
        <v>0</v>
      </c>
      <c r="M189" s="20">
        <f>L189*1.5</f>
        <v>0</v>
      </c>
      <c r="N189" s="21"/>
      <c r="O189" s="22">
        <f t="shared" si="95"/>
        <v>519</v>
      </c>
      <c r="P189" s="22">
        <f>ROUND(O189/24,2)</f>
        <v>21.63</v>
      </c>
      <c r="Q189" s="22">
        <f>P189*1.5</f>
        <v>32.445</v>
      </c>
      <c r="R189" s="23"/>
    </row>
    <row r="190" spans="1:19" ht="18.75" customHeight="1" x14ac:dyDescent="0.35">
      <c r="A190" s="145" t="s">
        <v>67</v>
      </c>
      <c r="B190" s="145" t="s">
        <v>8</v>
      </c>
      <c r="C190" s="82">
        <v>3841</v>
      </c>
      <c r="D190" s="20">
        <f>ROUND(C190/18,2)</f>
        <v>213.39</v>
      </c>
      <c r="E190" s="20"/>
      <c r="F190" s="21">
        <f>SUM(D190,E191:E193)</f>
        <v>217.76999999999998</v>
      </c>
      <c r="G190" s="285">
        <v>3210</v>
      </c>
      <c r="H190" s="20">
        <f>ROUND(G190/18,2)</f>
        <v>178.33</v>
      </c>
      <c r="I190" s="20"/>
      <c r="J190" s="21">
        <f>SUM(H190,I191:I193)</f>
        <v>184.45000000000002</v>
      </c>
      <c r="K190" s="82">
        <v>0</v>
      </c>
      <c r="L190" s="20">
        <f>ROUND(K190/18,2)</f>
        <v>0</v>
      </c>
      <c r="M190" s="20"/>
      <c r="N190" s="21">
        <f>SUM(L190,M191:M193)</f>
        <v>0</v>
      </c>
      <c r="O190" s="22">
        <f t="shared" si="95"/>
        <v>7051</v>
      </c>
      <c r="P190" s="22">
        <f>ROUND(O190/36,2)</f>
        <v>195.86</v>
      </c>
      <c r="Q190" s="22"/>
      <c r="R190" s="23">
        <f>SUM(P190,Q191:Q193)</f>
        <v>201.11</v>
      </c>
    </row>
    <row r="191" spans="1:19" ht="18.75" customHeight="1" x14ac:dyDescent="0.35">
      <c r="A191" s="145"/>
      <c r="B191" s="145" t="s">
        <v>64</v>
      </c>
      <c r="C191" s="82">
        <v>0</v>
      </c>
      <c r="D191" s="20">
        <f>ROUND(C191/12,2)</f>
        <v>0</v>
      </c>
      <c r="E191" s="20">
        <f>D191*1.5</f>
        <v>0</v>
      </c>
      <c r="F191" s="21"/>
      <c r="G191" s="285">
        <v>0</v>
      </c>
      <c r="H191" s="20">
        <f>ROUND(G191/12,2)</f>
        <v>0</v>
      </c>
      <c r="I191" s="20">
        <f>H191*1.5</f>
        <v>0</v>
      </c>
      <c r="J191" s="21"/>
      <c r="K191" s="82">
        <v>0</v>
      </c>
      <c r="L191" s="20">
        <f>ROUND(K191/12,2)</f>
        <v>0</v>
      </c>
      <c r="M191" s="20">
        <f>L191*1.5</f>
        <v>0</v>
      </c>
      <c r="N191" s="21"/>
      <c r="O191" s="22">
        <f t="shared" si="95"/>
        <v>0</v>
      </c>
      <c r="P191" s="22">
        <f t="shared" ref="P191:P193" si="116">ROUND(O191/24,2)</f>
        <v>0</v>
      </c>
      <c r="Q191" s="22">
        <f t="shared" ref="Q191:Q193" si="117">P191*1.5</f>
        <v>0</v>
      </c>
      <c r="R191" s="23"/>
    </row>
    <row r="192" spans="1:19" ht="18.75" customHeight="1" x14ac:dyDescent="0.35">
      <c r="A192" s="145"/>
      <c r="B192" s="145" t="s">
        <v>9</v>
      </c>
      <c r="C192" s="82">
        <v>14</v>
      </c>
      <c r="D192" s="20">
        <f>ROUND(C192/12,2)</f>
        <v>1.17</v>
      </c>
      <c r="E192" s="20">
        <f>D192*1.5</f>
        <v>1.7549999999999999</v>
      </c>
      <c r="F192" s="21"/>
      <c r="G192" s="285">
        <v>22</v>
      </c>
      <c r="H192" s="20">
        <f>ROUND(G192/12,2)</f>
        <v>1.83</v>
      </c>
      <c r="I192" s="20">
        <f>H192*1.5</f>
        <v>2.7450000000000001</v>
      </c>
      <c r="J192" s="21"/>
      <c r="K192" s="82">
        <v>0</v>
      </c>
      <c r="L192" s="20">
        <f>ROUND(K192/12,2)</f>
        <v>0</v>
      </c>
      <c r="M192" s="20">
        <f>L192*1.5</f>
        <v>0</v>
      </c>
      <c r="N192" s="21"/>
      <c r="O192" s="22">
        <f t="shared" si="95"/>
        <v>36</v>
      </c>
      <c r="P192" s="22">
        <f t="shared" si="116"/>
        <v>1.5</v>
      </c>
      <c r="Q192" s="22">
        <f t="shared" si="117"/>
        <v>2.25</v>
      </c>
      <c r="R192" s="23"/>
    </row>
    <row r="193" spans="1:18" ht="18.75" customHeight="1" x14ac:dyDescent="0.35">
      <c r="A193" s="145"/>
      <c r="B193" s="145" t="s">
        <v>10</v>
      </c>
      <c r="C193" s="82">
        <v>21</v>
      </c>
      <c r="D193" s="20">
        <f>ROUND(C193/12,2)</f>
        <v>1.75</v>
      </c>
      <c r="E193" s="20">
        <f>D193*1.5</f>
        <v>2.625</v>
      </c>
      <c r="F193" s="21"/>
      <c r="G193" s="285">
        <v>27</v>
      </c>
      <c r="H193" s="20">
        <f>ROUND(G193/12,2)</f>
        <v>2.25</v>
      </c>
      <c r="I193" s="20">
        <f>H193*1.5</f>
        <v>3.375</v>
      </c>
      <c r="J193" s="21"/>
      <c r="K193" s="82">
        <v>0</v>
      </c>
      <c r="L193" s="20">
        <f>ROUND(K193/12,2)</f>
        <v>0</v>
      </c>
      <c r="M193" s="20">
        <f>L193*1.5</f>
        <v>0</v>
      </c>
      <c r="N193" s="21"/>
      <c r="O193" s="22">
        <f t="shared" si="95"/>
        <v>48</v>
      </c>
      <c r="P193" s="22">
        <f t="shared" si="116"/>
        <v>2</v>
      </c>
      <c r="Q193" s="22">
        <f t="shared" si="117"/>
        <v>3</v>
      </c>
      <c r="R193" s="23"/>
    </row>
    <row r="194" spans="1:18" ht="18.75" customHeight="1" x14ac:dyDescent="0.35">
      <c r="A194" s="145" t="s">
        <v>68</v>
      </c>
      <c r="B194" s="145" t="s">
        <v>8</v>
      </c>
      <c r="C194" s="82">
        <v>5077</v>
      </c>
      <c r="D194" s="20">
        <f>ROUND(C194/18,2)</f>
        <v>282.06</v>
      </c>
      <c r="E194" s="20"/>
      <c r="F194" s="21">
        <f>SUM(D194,E195:E197)</f>
        <v>304.935</v>
      </c>
      <c r="G194" s="285">
        <v>5049</v>
      </c>
      <c r="H194" s="20">
        <f>ROUND(G194/18,2)</f>
        <v>280.5</v>
      </c>
      <c r="I194" s="20"/>
      <c r="J194" s="21">
        <f>SUM(H194,I195:I197)</f>
        <v>305.25</v>
      </c>
      <c r="K194" s="82">
        <v>24</v>
      </c>
      <c r="L194" s="20">
        <f>ROUND(K194/18,2)</f>
        <v>1.33</v>
      </c>
      <c r="M194" s="20"/>
      <c r="N194" s="21">
        <f>SUM(L194,M195:M197)</f>
        <v>9.2050000000000001</v>
      </c>
      <c r="O194" s="22">
        <f t="shared" si="95"/>
        <v>10150</v>
      </c>
      <c r="P194" s="22">
        <f>ROUND(O194/36,2)</f>
        <v>281.94</v>
      </c>
      <c r="Q194" s="22"/>
      <c r="R194" s="23">
        <f>SUM(P194,Q195:Q197)</f>
        <v>309.70499999999998</v>
      </c>
    </row>
    <row r="195" spans="1:18" ht="18.75" customHeight="1" x14ac:dyDescent="0.35">
      <c r="A195" s="145"/>
      <c r="B195" s="145" t="s">
        <v>64</v>
      </c>
      <c r="C195" s="82">
        <v>0</v>
      </c>
      <c r="D195" s="20">
        <f>ROUND(C195/12,2)</f>
        <v>0</v>
      </c>
      <c r="E195" s="20">
        <f>D195*1.5</f>
        <v>0</v>
      </c>
      <c r="F195" s="21"/>
      <c r="G195" s="285">
        <v>0</v>
      </c>
      <c r="H195" s="20">
        <f>ROUND(G195/12,2)</f>
        <v>0</v>
      </c>
      <c r="I195" s="20">
        <f>H195*1.5</f>
        <v>0</v>
      </c>
      <c r="J195" s="21"/>
      <c r="K195" s="82">
        <v>0</v>
      </c>
      <c r="L195" s="20">
        <f>ROUND(K195/12,2)</f>
        <v>0</v>
      </c>
      <c r="M195" s="20">
        <f>L195*1.5</f>
        <v>0</v>
      </c>
      <c r="N195" s="21"/>
      <c r="O195" s="22">
        <f t="shared" si="95"/>
        <v>0</v>
      </c>
      <c r="P195" s="22">
        <f t="shared" ref="P195:P197" si="118">ROUND(O195/24,2)</f>
        <v>0</v>
      </c>
      <c r="Q195" s="22">
        <f t="shared" ref="Q195:Q197" si="119">P195*1.5</f>
        <v>0</v>
      </c>
      <c r="R195" s="23"/>
    </row>
    <row r="196" spans="1:18" ht="18.75" customHeight="1" x14ac:dyDescent="0.35">
      <c r="A196" s="145"/>
      <c r="B196" s="145" t="s">
        <v>9</v>
      </c>
      <c r="C196" s="82">
        <v>183</v>
      </c>
      <c r="D196" s="20">
        <f>ROUND(C196/12,2)</f>
        <v>15.25</v>
      </c>
      <c r="E196" s="20">
        <f>D196*1.5</f>
        <v>22.875</v>
      </c>
      <c r="F196" s="21"/>
      <c r="G196" s="285">
        <v>195</v>
      </c>
      <c r="H196" s="20">
        <f>ROUND(G196/12,2)</f>
        <v>16.25</v>
      </c>
      <c r="I196" s="20">
        <f>H196*1.5</f>
        <v>24.375</v>
      </c>
      <c r="J196" s="21"/>
      <c r="K196" s="82">
        <v>63</v>
      </c>
      <c r="L196" s="20">
        <f>ROUND(K196/12,2)</f>
        <v>5.25</v>
      </c>
      <c r="M196" s="20">
        <f>L196*1.5</f>
        <v>7.875</v>
      </c>
      <c r="N196" s="21"/>
      <c r="O196" s="22">
        <f t="shared" si="95"/>
        <v>441</v>
      </c>
      <c r="P196" s="22">
        <f t="shared" si="118"/>
        <v>18.38</v>
      </c>
      <c r="Q196" s="22">
        <f t="shared" si="119"/>
        <v>27.57</v>
      </c>
      <c r="R196" s="23"/>
    </row>
    <row r="197" spans="1:18" ht="18.75" customHeight="1" x14ac:dyDescent="0.35">
      <c r="A197" s="145"/>
      <c r="B197" s="145" t="s">
        <v>10</v>
      </c>
      <c r="C197" s="82"/>
      <c r="D197" s="20">
        <f>ROUND(C197/12,2)</f>
        <v>0</v>
      </c>
      <c r="E197" s="20">
        <f>D197*1.5</f>
        <v>0</v>
      </c>
      <c r="F197" s="21"/>
      <c r="G197" s="285">
        <v>3</v>
      </c>
      <c r="H197" s="20">
        <f>ROUND(G197/12,2)</f>
        <v>0.25</v>
      </c>
      <c r="I197" s="20">
        <f>H197*1.5</f>
        <v>0.375</v>
      </c>
      <c r="J197" s="21"/>
      <c r="K197" s="82">
        <v>0</v>
      </c>
      <c r="L197" s="20">
        <f>ROUND(K197/12,2)</f>
        <v>0</v>
      </c>
      <c r="M197" s="20">
        <f>L197*1.5</f>
        <v>0</v>
      </c>
      <c r="N197" s="21"/>
      <c r="O197" s="22">
        <f t="shared" si="95"/>
        <v>3</v>
      </c>
      <c r="P197" s="22">
        <f t="shared" si="118"/>
        <v>0.13</v>
      </c>
      <c r="Q197" s="22">
        <f t="shared" si="119"/>
        <v>0.19500000000000001</v>
      </c>
      <c r="R197" s="23"/>
    </row>
    <row r="198" spans="1:18" ht="18.75" customHeight="1" x14ac:dyDescent="0.35">
      <c r="A198" s="153" t="s">
        <v>69</v>
      </c>
      <c r="B198" s="153" t="s">
        <v>8</v>
      </c>
      <c r="C198" s="285">
        <v>0</v>
      </c>
      <c r="D198" s="20">
        <f>ROUND(C198/18,2)</f>
        <v>0</v>
      </c>
      <c r="E198" s="20"/>
      <c r="F198" s="21">
        <f>SUM(D198,E199:E201)</f>
        <v>3.375</v>
      </c>
      <c r="G198" s="285">
        <v>0</v>
      </c>
      <c r="H198" s="20">
        <f>ROUND(G198/18,2)</f>
        <v>0</v>
      </c>
      <c r="I198" s="20"/>
      <c r="J198" s="21">
        <f>SUM(H198,I199:I201)</f>
        <v>0.75</v>
      </c>
      <c r="K198" s="82">
        <v>0</v>
      </c>
      <c r="L198" s="20">
        <f>ROUND(K198/18,2)</f>
        <v>0</v>
      </c>
      <c r="M198" s="20"/>
      <c r="N198" s="21">
        <f>SUM(L198,M199:M201)</f>
        <v>0</v>
      </c>
      <c r="O198" s="22">
        <f t="shared" si="95"/>
        <v>0</v>
      </c>
      <c r="P198" s="22">
        <f>ROUND(O198/36,2)</f>
        <v>0</v>
      </c>
      <c r="Q198" s="22"/>
      <c r="R198" s="23">
        <f>SUM(P198,Q199:Q201)</f>
        <v>2.0699999999999998</v>
      </c>
    </row>
    <row r="199" spans="1:18" ht="18.75" customHeight="1" x14ac:dyDescent="0.35">
      <c r="A199" s="145"/>
      <c r="B199" s="145" t="s">
        <v>64</v>
      </c>
      <c r="C199" s="285">
        <v>0</v>
      </c>
      <c r="D199" s="20">
        <f>ROUND(C199/12,2)</f>
        <v>0</v>
      </c>
      <c r="E199" s="20">
        <f>D199*1.5</f>
        <v>0</v>
      </c>
      <c r="F199" s="21"/>
      <c r="G199" s="285">
        <v>0</v>
      </c>
      <c r="H199" s="20">
        <f>ROUND(G199/12,2)</f>
        <v>0</v>
      </c>
      <c r="I199" s="20">
        <f>H199*1.5</f>
        <v>0</v>
      </c>
      <c r="J199" s="21"/>
      <c r="K199" s="82">
        <v>0</v>
      </c>
      <c r="L199" s="20">
        <f>ROUND(K199/12,2)</f>
        <v>0</v>
      </c>
      <c r="M199" s="20">
        <f>L199*1.5</f>
        <v>0</v>
      </c>
      <c r="N199" s="21"/>
      <c r="O199" s="22">
        <f t="shared" si="95"/>
        <v>0</v>
      </c>
      <c r="P199" s="22">
        <f t="shared" ref="P199:P201" si="120">ROUND(O199/24,2)</f>
        <v>0</v>
      </c>
      <c r="Q199" s="22">
        <f t="shared" ref="Q199:Q201" si="121">P199*1.5</f>
        <v>0</v>
      </c>
      <c r="R199" s="23"/>
    </row>
    <row r="200" spans="1:18" ht="18.75" customHeight="1" x14ac:dyDescent="0.35">
      <c r="A200" s="145"/>
      <c r="B200" s="145" t="s">
        <v>9</v>
      </c>
      <c r="C200" s="285">
        <v>0</v>
      </c>
      <c r="D200" s="20">
        <f>ROUND(C200/12,2)</f>
        <v>0</v>
      </c>
      <c r="E200" s="20">
        <f>D200*1.5</f>
        <v>0</v>
      </c>
      <c r="F200" s="21"/>
      <c r="G200" s="285">
        <v>0</v>
      </c>
      <c r="H200" s="20">
        <f>ROUND(G200/12,2)</f>
        <v>0</v>
      </c>
      <c r="I200" s="20">
        <f>H200*1.5</f>
        <v>0</v>
      </c>
      <c r="J200" s="21"/>
      <c r="K200" s="82">
        <v>0</v>
      </c>
      <c r="L200" s="20">
        <f>ROUND(K200/12,2)</f>
        <v>0</v>
      </c>
      <c r="M200" s="20">
        <f>L200*1.5</f>
        <v>0</v>
      </c>
      <c r="N200" s="21"/>
      <c r="O200" s="22">
        <f t="shared" si="95"/>
        <v>0</v>
      </c>
      <c r="P200" s="22">
        <f t="shared" si="120"/>
        <v>0</v>
      </c>
      <c r="Q200" s="22">
        <f t="shared" si="121"/>
        <v>0</v>
      </c>
      <c r="R200" s="23"/>
    </row>
    <row r="201" spans="1:18" ht="18.75" customHeight="1" x14ac:dyDescent="0.35">
      <c r="A201" s="154"/>
      <c r="B201" s="154" t="s">
        <v>10</v>
      </c>
      <c r="C201" s="285">
        <v>27</v>
      </c>
      <c r="D201" s="20">
        <f>ROUND(C201/12,2)</f>
        <v>2.25</v>
      </c>
      <c r="E201" s="20">
        <f>D201*1.5</f>
        <v>3.375</v>
      </c>
      <c r="F201" s="21"/>
      <c r="G201" s="285">
        <v>6</v>
      </c>
      <c r="H201" s="20">
        <f>ROUND(G201/12,2)</f>
        <v>0.5</v>
      </c>
      <c r="I201" s="20">
        <f>H201*1.5</f>
        <v>0.75</v>
      </c>
      <c r="J201" s="21"/>
      <c r="K201" s="82">
        <v>0</v>
      </c>
      <c r="L201" s="20">
        <f>ROUND(K201/12,2)</f>
        <v>0</v>
      </c>
      <c r="M201" s="20">
        <f>L201*1.5</f>
        <v>0</v>
      </c>
      <c r="N201" s="21"/>
      <c r="O201" s="22">
        <f t="shared" si="95"/>
        <v>33</v>
      </c>
      <c r="P201" s="22">
        <f t="shared" si="120"/>
        <v>1.38</v>
      </c>
      <c r="Q201" s="22">
        <f t="shared" si="121"/>
        <v>2.0699999999999998</v>
      </c>
      <c r="R201" s="23"/>
    </row>
    <row r="202" spans="1:18" ht="18.75" customHeight="1" x14ac:dyDescent="0.35">
      <c r="A202" s="145" t="s">
        <v>70</v>
      </c>
      <c r="B202" s="145" t="s">
        <v>8</v>
      </c>
      <c r="C202" s="82">
        <v>5185</v>
      </c>
      <c r="D202" s="20">
        <f>ROUND(C202/18,2)</f>
        <v>288.06</v>
      </c>
      <c r="E202" s="20"/>
      <c r="F202" s="21">
        <f>SUM(D202,E203:E205)</f>
        <v>351.69</v>
      </c>
      <c r="G202" s="285">
        <v>5999</v>
      </c>
      <c r="H202" s="20">
        <f>ROUND(G202/18,2)</f>
        <v>333.28</v>
      </c>
      <c r="I202" s="20"/>
      <c r="J202" s="21">
        <f>SUM(H202,I203:I205)</f>
        <v>372.4</v>
      </c>
      <c r="K202" s="82">
        <v>0</v>
      </c>
      <c r="L202" s="20">
        <f>ROUND(K202/18,2)</f>
        <v>0</v>
      </c>
      <c r="M202" s="20"/>
      <c r="N202" s="21">
        <f>SUM(L202,M203:M205)</f>
        <v>7.5</v>
      </c>
      <c r="O202" s="22">
        <f t="shared" si="95"/>
        <v>11184</v>
      </c>
      <c r="P202" s="22">
        <f>ROUND(O202/36,2)</f>
        <v>310.67</v>
      </c>
      <c r="Q202" s="22"/>
      <c r="R202" s="23">
        <f>SUM(P202,Q203:Q205)</f>
        <v>365.79500000000002</v>
      </c>
    </row>
    <row r="203" spans="1:18" ht="18.75" customHeight="1" x14ac:dyDescent="0.35">
      <c r="A203" s="145"/>
      <c r="B203" s="145" t="s">
        <v>64</v>
      </c>
      <c r="C203" s="82">
        <v>0</v>
      </c>
      <c r="D203" s="20">
        <f>ROUND(C203/12,2)</f>
        <v>0</v>
      </c>
      <c r="E203" s="20">
        <f>D203*1.5</f>
        <v>0</v>
      </c>
      <c r="F203" s="21"/>
      <c r="G203" s="285">
        <v>0</v>
      </c>
      <c r="H203" s="20">
        <f>ROUND(G203/12,2)</f>
        <v>0</v>
      </c>
      <c r="I203" s="20">
        <f>H203*1.5</f>
        <v>0</v>
      </c>
      <c r="J203" s="21"/>
      <c r="K203" s="82">
        <v>0</v>
      </c>
      <c r="L203" s="20">
        <f>ROUND(K203/12,2)</f>
        <v>0</v>
      </c>
      <c r="M203" s="20">
        <f>L203*1.5</f>
        <v>0</v>
      </c>
      <c r="N203" s="21"/>
      <c r="O203" s="22">
        <f t="shared" si="95"/>
        <v>0</v>
      </c>
      <c r="P203" s="22">
        <f>ROUND(O203/24,2)</f>
        <v>0</v>
      </c>
      <c r="Q203" s="22">
        <f>P203*1.5</f>
        <v>0</v>
      </c>
      <c r="R203" s="23"/>
    </row>
    <row r="204" spans="1:18" ht="18.75" customHeight="1" x14ac:dyDescent="0.35">
      <c r="A204" s="145"/>
      <c r="B204" s="145" t="s">
        <v>9</v>
      </c>
      <c r="C204" s="82">
        <v>284</v>
      </c>
      <c r="D204" s="20">
        <f>ROUND(C204/12,2)</f>
        <v>23.67</v>
      </c>
      <c r="E204" s="20">
        <f>D204*1.5</f>
        <v>35.505000000000003</v>
      </c>
      <c r="F204" s="21"/>
      <c r="G204" s="285">
        <v>118</v>
      </c>
      <c r="H204" s="20">
        <f>ROUND(G204/12,2)</f>
        <v>9.83</v>
      </c>
      <c r="I204" s="20">
        <f>H204*1.5</f>
        <v>14.745000000000001</v>
      </c>
      <c r="J204" s="21"/>
      <c r="K204" s="82">
        <v>60</v>
      </c>
      <c r="L204" s="20">
        <f>ROUND(K204/12,2)</f>
        <v>5</v>
      </c>
      <c r="M204" s="20">
        <f>L204*1.5</f>
        <v>7.5</v>
      </c>
      <c r="N204" s="21"/>
      <c r="O204" s="22">
        <f t="shared" si="95"/>
        <v>462</v>
      </c>
      <c r="P204" s="22">
        <f>ROUND(O204/24,2)</f>
        <v>19.25</v>
      </c>
      <c r="Q204" s="22">
        <f>P204*1.5</f>
        <v>28.875</v>
      </c>
      <c r="R204" s="23"/>
    </row>
    <row r="205" spans="1:18" ht="18.75" customHeight="1" x14ac:dyDescent="0.35">
      <c r="A205" s="145"/>
      <c r="B205" s="145" t="s">
        <v>10</v>
      </c>
      <c r="C205" s="82">
        <v>225</v>
      </c>
      <c r="D205" s="20">
        <f>ROUND(C205/12,2)</f>
        <v>18.75</v>
      </c>
      <c r="E205" s="20">
        <f>D205*1.5</f>
        <v>28.125</v>
      </c>
      <c r="F205" s="21"/>
      <c r="G205" s="285">
        <v>195</v>
      </c>
      <c r="H205" s="20">
        <f>ROUND(G205/12,2)</f>
        <v>16.25</v>
      </c>
      <c r="I205" s="20">
        <f>H205*1.5</f>
        <v>24.375</v>
      </c>
      <c r="J205" s="21"/>
      <c r="K205" s="82">
        <v>0</v>
      </c>
      <c r="L205" s="20">
        <f>ROUND(K205/12,2)</f>
        <v>0</v>
      </c>
      <c r="M205" s="20">
        <f>L205*1.5</f>
        <v>0</v>
      </c>
      <c r="N205" s="21"/>
      <c r="O205" s="22">
        <f t="shared" si="95"/>
        <v>420</v>
      </c>
      <c r="P205" s="22">
        <f>ROUND(O205/24,2)</f>
        <v>17.5</v>
      </c>
      <c r="Q205" s="22">
        <f>P205*1.5</f>
        <v>26.25</v>
      </c>
      <c r="R205" s="23"/>
    </row>
    <row r="206" spans="1:18" ht="18.75" customHeight="1" x14ac:dyDescent="0.35">
      <c r="A206" s="177" t="s">
        <v>22</v>
      </c>
      <c r="B206" s="151" t="s">
        <v>8</v>
      </c>
      <c r="C206" s="95">
        <f>SUMIF($B$177:$B$205,"ปริญญาตรี",C177:C205)</f>
        <v>28409</v>
      </c>
      <c r="D206" s="251">
        <f>ROUND(C206/18,2)</f>
        <v>1578.28</v>
      </c>
      <c r="E206" s="251"/>
      <c r="F206" s="252">
        <f>SUM(D206,E207:E209)</f>
        <v>1737.655</v>
      </c>
      <c r="G206" s="265">
        <f>SUMIF($B$177:$B$205,"ปริญญาตรี",G177:G205)</f>
        <v>29937</v>
      </c>
      <c r="H206" s="251">
        <f>ROUND(G206/18,2)</f>
        <v>1663.17</v>
      </c>
      <c r="I206" s="251"/>
      <c r="J206" s="252">
        <f>SUM(H206,I207:I209)</f>
        <v>1807.5450000000001</v>
      </c>
      <c r="K206" s="265">
        <f>SUMIF($B$177:$B$205,"ปริญญาตรี",K177:K205)</f>
        <v>34</v>
      </c>
      <c r="L206" s="251">
        <f>ROUND(K206/18,2)</f>
        <v>1.89</v>
      </c>
      <c r="M206" s="251"/>
      <c r="N206" s="252">
        <f>SUM(L206,M207:M209)</f>
        <v>19.14</v>
      </c>
      <c r="O206" s="266">
        <f t="shared" si="95"/>
        <v>58380</v>
      </c>
      <c r="P206" s="257">
        <f>ROUND(O206/36,2)</f>
        <v>1621.67</v>
      </c>
      <c r="Q206" s="257"/>
      <c r="R206" s="258">
        <f>SUM(P206,Q207:Q209)</f>
        <v>1782.17</v>
      </c>
    </row>
    <row r="207" spans="1:18" ht="18.75" customHeight="1" x14ac:dyDescent="0.35">
      <c r="A207" s="174" t="s">
        <v>22</v>
      </c>
      <c r="B207" s="151" t="s">
        <v>64</v>
      </c>
      <c r="C207" s="95">
        <f>SUMIF($B$177:$B$205,"ป.บัณฑิต",C177:C205)</f>
        <v>0</v>
      </c>
      <c r="D207" s="251">
        <f>ROUND(C207/12,2)</f>
        <v>0</v>
      </c>
      <c r="E207" s="251">
        <f>D207*1.5</f>
        <v>0</v>
      </c>
      <c r="F207" s="252"/>
      <c r="G207" s="265">
        <f>SUMIF($B$177:$B$205,"ป.บัณฑิต",G177:G205)</f>
        <v>0</v>
      </c>
      <c r="H207" s="251">
        <f>ROUND(G207/12,2)</f>
        <v>0</v>
      </c>
      <c r="I207" s="251">
        <f>H207*1.5</f>
        <v>0</v>
      </c>
      <c r="J207" s="252"/>
      <c r="K207" s="265">
        <f>SUMIF($B$177:$B$205,"ป.บัณฑิต",K177:K205)</f>
        <v>0</v>
      </c>
      <c r="L207" s="251">
        <f>ROUND(K207/12,2)</f>
        <v>0</v>
      </c>
      <c r="M207" s="251">
        <f>L207*1.5</f>
        <v>0</v>
      </c>
      <c r="N207" s="252"/>
      <c r="O207" s="266">
        <f t="shared" si="95"/>
        <v>0</v>
      </c>
      <c r="P207" s="257">
        <f t="shared" ref="P207:P209" si="122">ROUND(O207/24,2)</f>
        <v>0</v>
      </c>
      <c r="Q207" s="257">
        <f t="shared" ref="Q207:Q209" si="123">P207*1.5</f>
        <v>0</v>
      </c>
      <c r="R207" s="258"/>
    </row>
    <row r="208" spans="1:18" ht="18.75" customHeight="1" x14ac:dyDescent="0.35">
      <c r="A208" s="174" t="s">
        <v>22</v>
      </c>
      <c r="B208" s="151" t="s">
        <v>9</v>
      </c>
      <c r="C208" s="93">
        <f>SUMIF($B$177:$B$205,"ปริญญาโท",C177:C205)</f>
        <v>696</v>
      </c>
      <c r="D208" s="251">
        <f>ROUND(C208/12,2)</f>
        <v>58</v>
      </c>
      <c r="E208" s="251">
        <f>D208*1.5</f>
        <v>87</v>
      </c>
      <c r="F208" s="252"/>
      <c r="G208" s="253">
        <f>SUMIF($B$177:$B$205,"ปริญญาโท",G177:G205)</f>
        <v>666</v>
      </c>
      <c r="H208" s="251">
        <f>ROUND(G208/12,2)</f>
        <v>55.5</v>
      </c>
      <c r="I208" s="251">
        <f>H208*1.5</f>
        <v>83.25</v>
      </c>
      <c r="J208" s="252"/>
      <c r="K208" s="253">
        <f>SUMIF($B$177:$B$205,"ปริญญาโท",K177:K205)</f>
        <v>138</v>
      </c>
      <c r="L208" s="251">
        <f>ROUND(K208/12,2)</f>
        <v>11.5</v>
      </c>
      <c r="M208" s="251">
        <f>L208*1.5</f>
        <v>17.25</v>
      </c>
      <c r="N208" s="252"/>
      <c r="O208" s="266">
        <f t="shared" ref="O208:O209" si="124">SUMIF($C$3:$N$3,"SCH",C208:N208)</f>
        <v>1500</v>
      </c>
      <c r="P208" s="257">
        <f t="shared" si="122"/>
        <v>62.5</v>
      </c>
      <c r="Q208" s="257">
        <f t="shared" si="123"/>
        <v>93.75</v>
      </c>
      <c r="R208" s="258"/>
    </row>
    <row r="209" spans="1:18" ht="18.75" customHeight="1" thickBot="1" x14ac:dyDescent="0.4">
      <c r="A209" s="175" t="s">
        <v>22</v>
      </c>
      <c r="B209" s="152" t="s">
        <v>10</v>
      </c>
      <c r="C209" s="94">
        <f>SUMIF($B$177:$B$205,"ปริญญาเอก",C177:C205)</f>
        <v>579</v>
      </c>
      <c r="D209" s="259">
        <f>ROUND(C209/12,2)</f>
        <v>48.25</v>
      </c>
      <c r="E209" s="259">
        <f>D209*1.5</f>
        <v>72.375</v>
      </c>
      <c r="F209" s="260"/>
      <c r="G209" s="261">
        <f>SUMIF($B$177:$B$205,"ปริญญาเอก",G177:G205)</f>
        <v>489</v>
      </c>
      <c r="H209" s="259">
        <f>ROUND(G209/12,2)</f>
        <v>40.75</v>
      </c>
      <c r="I209" s="259">
        <f>H209*1.5</f>
        <v>61.125</v>
      </c>
      <c r="J209" s="260"/>
      <c r="K209" s="261">
        <f>SUMIF($B$177:$B$205,"ปริญญาเอก",K177:K205)</f>
        <v>0</v>
      </c>
      <c r="L209" s="259">
        <f>ROUND(K209/12,2)</f>
        <v>0</v>
      </c>
      <c r="M209" s="259">
        <f>L209*1.5</f>
        <v>0</v>
      </c>
      <c r="N209" s="260"/>
      <c r="O209" s="267">
        <f t="shared" si="124"/>
        <v>1068</v>
      </c>
      <c r="P209" s="263">
        <f t="shared" si="122"/>
        <v>44.5</v>
      </c>
      <c r="Q209" s="263">
        <f t="shared" si="123"/>
        <v>66.75</v>
      </c>
      <c r="R209" s="264"/>
    </row>
    <row r="210" spans="1:18" ht="18.75" customHeight="1" x14ac:dyDescent="0.35">
      <c r="A210" s="148" t="s">
        <v>71</v>
      </c>
      <c r="B210" s="149"/>
      <c r="C210" s="80"/>
      <c r="D210" s="28"/>
      <c r="E210" s="28"/>
      <c r="F210" s="29"/>
      <c r="G210" s="79"/>
      <c r="H210" s="28"/>
      <c r="I210" s="28"/>
      <c r="J210" s="29"/>
      <c r="K210" s="80"/>
      <c r="L210" s="28"/>
      <c r="M210" s="28"/>
      <c r="N210" s="29"/>
      <c r="O210" s="66"/>
      <c r="P210" s="30"/>
      <c r="Q210" s="30"/>
      <c r="R210" s="31"/>
    </row>
    <row r="211" spans="1:18" ht="18.75" customHeight="1" x14ac:dyDescent="0.35">
      <c r="A211" s="145" t="s">
        <v>7</v>
      </c>
      <c r="B211" s="145" t="s">
        <v>8</v>
      </c>
      <c r="C211" s="82">
        <f>785+18630</f>
        <v>19415</v>
      </c>
      <c r="D211" s="20">
        <f>ROUND(C211/18,2)</f>
        <v>1078.6099999999999</v>
      </c>
      <c r="E211" s="20"/>
      <c r="F211" s="21">
        <f>SUM(D211,E212:E213)</f>
        <v>1097.8599999999999</v>
      </c>
      <c r="G211" s="81">
        <v>18686</v>
      </c>
      <c r="H211" s="20">
        <f>ROUND(G211/18,2)</f>
        <v>1038.1099999999999</v>
      </c>
      <c r="I211" s="20"/>
      <c r="J211" s="21">
        <f>SUM(H211,I212:I213)</f>
        <v>1056.03</v>
      </c>
      <c r="K211" s="140">
        <v>256</v>
      </c>
      <c r="L211" s="20">
        <f>ROUND(K211/18,2)</f>
        <v>14.22</v>
      </c>
      <c r="M211" s="20"/>
      <c r="N211" s="21">
        <f>SUM(L211,M212:M213)</f>
        <v>14.22</v>
      </c>
      <c r="O211" s="22">
        <f t="shared" ref="O211:O247" si="125">SUMIF($C$3:$N$3,"SCH",C211:N211)</f>
        <v>38357</v>
      </c>
      <c r="P211" s="22">
        <f>ROUND(O211/36,2)</f>
        <v>1065.47</v>
      </c>
      <c r="Q211" s="22"/>
      <c r="R211" s="23">
        <f>SUM(P211,Q212:Q213)</f>
        <v>1084.05</v>
      </c>
    </row>
    <row r="212" spans="1:18" ht="18.75" customHeight="1" x14ac:dyDescent="0.35">
      <c r="A212" s="163"/>
      <c r="B212" s="145" t="s">
        <v>9</v>
      </c>
      <c r="C212" s="82">
        <v>199</v>
      </c>
      <c r="D212" s="20">
        <f>ROUND(C212/12,2)</f>
        <v>16.579999999999998</v>
      </c>
      <c r="E212" s="20">
        <f>D212*1</f>
        <v>16.579999999999998</v>
      </c>
      <c r="F212" s="21"/>
      <c r="G212" s="81">
        <v>186</v>
      </c>
      <c r="H212" s="20">
        <f>ROUND(G212/12,2)</f>
        <v>15.5</v>
      </c>
      <c r="I212" s="20">
        <f>H212*1</f>
        <v>15.5</v>
      </c>
      <c r="J212" s="21"/>
      <c r="K212" s="82"/>
      <c r="L212" s="20">
        <f>ROUND(K212/12,2)</f>
        <v>0</v>
      </c>
      <c r="M212" s="20">
        <f>L212*1</f>
        <v>0</v>
      </c>
      <c r="N212" s="21"/>
      <c r="O212" s="22">
        <f t="shared" si="125"/>
        <v>385</v>
      </c>
      <c r="P212" s="22">
        <f t="shared" ref="P212:P213" si="126">ROUND(O212/24,2)</f>
        <v>16.04</v>
      </c>
      <c r="Q212" s="22">
        <f t="shared" ref="Q212:Q213" si="127">P212*1</f>
        <v>16.04</v>
      </c>
      <c r="R212" s="23"/>
    </row>
    <row r="213" spans="1:18" ht="18.75" customHeight="1" thickBot="1" x14ac:dyDescent="0.4">
      <c r="A213" s="164"/>
      <c r="B213" s="146" t="s">
        <v>10</v>
      </c>
      <c r="C213" s="84">
        <v>32</v>
      </c>
      <c r="D213" s="24">
        <f>ROUND(C213/12,2)</f>
        <v>2.67</v>
      </c>
      <c r="E213" s="24">
        <f>D213*1</f>
        <v>2.67</v>
      </c>
      <c r="F213" s="25"/>
      <c r="G213" s="83">
        <v>29</v>
      </c>
      <c r="H213" s="24">
        <f>ROUND(G213/12,2)</f>
        <v>2.42</v>
      </c>
      <c r="I213" s="24">
        <f>H213*1</f>
        <v>2.42</v>
      </c>
      <c r="J213" s="25"/>
      <c r="K213" s="84"/>
      <c r="L213" s="24">
        <f>ROUND(K213/12,2)</f>
        <v>0</v>
      </c>
      <c r="M213" s="24">
        <f>L213*1</f>
        <v>0</v>
      </c>
      <c r="N213" s="25"/>
      <c r="O213" s="92">
        <f t="shared" si="125"/>
        <v>61</v>
      </c>
      <c r="P213" s="26">
        <f t="shared" si="126"/>
        <v>2.54</v>
      </c>
      <c r="Q213" s="26">
        <f t="shared" si="127"/>
        <v>2.54</v>
      </c>
      <c r="R213" s="27"/>
    </row>
    <row r="214" spans="1:18" ht="18.75" customHeight="1" x14ac:dyDescent="0.35">
      <c r="A214" s="148" t="s">
        <v>72</v>
      </c>
      <c r="B214" s="149"/>
      <c r="C214" s="80"/>
      <c r="D214" s="28"/>
      <c r="E214" s="28"/>
      <c r="F214" s="29"/>
      <c r="G214" s="79"/>
      <c r="H214" s="28"/>
      <c r="I214" s="28"/>
      <c r="J214" s="29"/>
      <c r="K214" s="80"/>
      <c r="L214" s="28"/>
      <c r="M214" s="28"/>
      <c r="N214" s="29"/>
      <c r="O214" s="30"/>
      <c r="P214" s="30"/>
      <c r="Q214" s="30"/>
      <c r="R214" s="31"/>
    </row>
    <row r="215" spans="1:18" ht="18.75" customHeight="1" x14ac:dyDescent="0.35">
      <c r="A215" s="145" t="s">
        <v>73</v>
      </c>
      <c r="B215" s="145" t="s">
        <v>8</v>
      </c>
      <c r="C215" s="82">
        <v>1499</v>
      </c>
      <c r="D215" s="20">
        <f>ROUND(C215/18,2)</f>
        <v>83.28</v>
      </c>
      <c r="E215" s="20"/>
      <c r="F215" s="21">
        <f>SUM(D215,E216:E217)</f>
        <v>83.28</v>
      </c>
      <c r="G215" s="81">
        <v>2328</v>
      </c>
      <c r="H215" s="20">
        <f>ROUND(G215/18,2)</f>
        <v>129.33000000000001</v>
      </c>
      <c r="I215" s="20"/>
      <c r="J215" s="21">
        <f>SUM(H215,I216:I217)</f>
        <v>129.33000000000001</v>
      </c>
      <c r="K215" s="82"/>
      <c r="L215" s="20">
        <f>ROUND(K215/18,2)</f>
        <v>0</v>
      </c>
      <c r="M215" s="20"/>
      <c r="N215" s="21">
        <f>SUM(L215,M216:M217)</f>
        <v>0</v>
      </c>
      <c r="O215" s="22">
        <f t="shared" si="125"/>
        <v>3827</v>
      </c>
      <c r="P215" s="22">
        <f>ROUND(O215/36,2)</f>
        <v>106.31</v>
      </c>
      <c r="Q215" s="22"/>
      <c r="R215" s="23">
        <f>SUM(P215,Q216:Q217)</f>
        <v>106.31</v>
      </c>
    </row>
    <row r="216" spans="1:18" ht="18.75" customHeight="1" x14ac:dyDescent="0.35">
      <c r="A216" s="145"/>
      <c r="B216" s="145" t="s">
        <v>9</v>
      </c>
      <c r="C216" s="82"/>
      <c r="D216" s="20">
        <f>ROUND(C216/12,2)</f>
        <v>0</v>
      </c>
      <c r="E216" s="20">
        <f>D216*1</f>
        <v>0</v>
      </c>
      <c r="F216" s="21"/>
      <c r="G216" s="81"/>
      <c r="H216" s="20">
        <f>ROUND(G216/12,2)</f>
        <v>0</v>
      </c>
      <c r="I216" s="20">
        <f>H216*1</f>
        <v>0</v>
      </c>
      <c r="J216" s="21"/>
      <c r="K216" s="82"/>
      <c r="L216" s="20">
        <f>ROUND(K216/12,2)</f>
        <v>0</v>
      </c>
      <c r="M216" s="20">
        <f>L216*1</f>
        <v>0</v>
      </c>
      <c r="N216" s="21"/>
      <c r="O216" s="22">
        <f t="shared" si="125"/>
        <v>0</v>
      </c>
      <c r="P216" s="22">
        <f t="shared" ref="P216:P217" si="128">ROUND(O216/24,2)</f>
        <v>0</v>
      </c>
      <c r="Q216" s="22">
        <f t="shared" ref="Q216:Q217" si="129">P216*1</f>
        <v>0</v>
      </c>
      <c r="R216" s="23"/>
    </row>
    <row r="217" spans="1:18" ht="18.75" customHeight="1" x14ac:dyDescent="0.35">
      <c r="A217" s="145"/>
      <c r="B217" s="145" t="s">
        <v>10</v>
      </c>
      <c r="C217" s="82"/>
      <c r="D217" s="20">
        <f>ROUND(C217/12,2)</f>
        <v>0</v>
      </c>
      <c r="E217" s="20">
        <f>D217*1</f>
        <v>0</v>
      </c>
      <c r="F217" s="21"/>
      <c r="G217" s="81"/>
      <c r="H217" s="20">
        <f>ROUND(G217/12,2)</f>
        <v>0</v>
      </c>
      <c r="I217" s="20">
        <f>H217*1</f>
        <v>0</v>
      </c>
      <c r="J217" s="21"/>
      <c r="K217" s="82"/>
      <c r="L217" s="20">
        <f>ROUND(K217/12,2)</f>
        <v>0</v>
      </c>
      <c r="M217" s="20">
        <f>L217*1</f>
        <v>0</v>
      </c>
      <c r="N217" s="21"/>
      <c r="O217" s="22">
        <f t="shared" si="125"/>
        <v>0</v>
      </c>
      <c r="P217" s="22">
        <f t="shared" si="128"/>
        <v>0</v>
      </c>
      <c r="Q217" s="22">
        <f t="shared" si="129"/>
        <v>0</v>
      </c>
      <c r="R217" s="23"/>
    </row>
    <row r="218" spans="1:18" ht="18.75" customHeight="1" x14ac:dyDescent="0.35">
      <c r="A218" s="145" t="s">
        <v>74</v>
      </c>
      <c r="B218" s="145" t="s">
        <v>8</v>
      </c>
      <c r="C218" s="82">
        <v>1537</v>
      </c>
      <c r="D218" s="20">
        <f>ROUND(C218/18,2)</f>
        <v>85.39</v>
      </c>
      <c r="E218" s="20"/>
      <c r="F218" s="21">
        <f>SUM(D218,E219:E220)</f>
        <v>89.56</v>
      </c>
      <c r="G218" s="81">
        <v>1366</v>
      </c>
      <c r="H218" s="20">
        <f>ROUND(G218/18,2)</f>
        <v>75.89</v>
      </c>
      <c r="I218" s="20"/>
      <c r="J218" s="21">
        <f>SUM(H218,I219:I220)</f>
        <v>83.06</v>
      </c>
      <c r="K218" s="82"/>
      <c r="L218" s="20">
        <f>ROUND(K218/18,2)</f>
        <v>0</v>
      </c>
      <c r="M218" s="20"/>
      <c r="N218" s="21">
        <f>SUM(L218,M219:M220)</f>
        <v>0</v>
      </c>
      <c r="O218" s="22">
        <f t="shared" si="125"/>
        <v>2903</v>
      </c>
      <c r="P218" s="22">
        <f>ROUND(O218/36,2)</f>
        <v>80.64</v>
      </c>
      <c r="Q218" s="22"/>
      <c r="R218" s="23">
        <f>SUM(P218,Q219:Q220)</f>
        <v>86.31</v>
      </c>
    </row>
    <row r="219" spans="1:18" ht="18.75" customHeight="1" x14ac:dyDescent="0.35">
      <c r="A219" s="145"/>
      <c r="B219" s="145" t="s">
        <v>9</v>
      </c>
      <c r="C219" s="82"/>
      <c r="D219" s="20">
        <f>ROUND(C219/12,2)</f>
        <v>0</v>
      </c>
      <c r="E219" s="20">
        <f>D219*1</f>
        <v>0</v>
      </c>
      <c r="F219" s="21"/>
      <c r="G219" s="81"/>
      <c r="H219" s="20">
        <f>ROUND(G219/12,2)</f>
        <v>0</v>
      </c>
      <c r="I219" s="20">
        <f>H219*1</f>
        <v>0</v>
      </c>
      <c r="J219" s="21"/>
      <c r="K219" s="82"/>
      <c r="L219" s="20">
        <f>ROUND(K219/12,2)</f>
        <v>0</v>
      </c>
      <c r="M219" s="20">
        <f>L219*1</f>
        <v>0</v>
      </c>
      <c r="N219" s="21"/>
      <c r="O219" s="22">
        <f t="shared" si="125"/>
        <v>0</v>
      </c>
      <c r="P219" s="22">
        <f t="shared" ref="P219:P220" si="130">ROUND(O219/24,2)</f>
        <v>0</v>
      </c>
      <c r="Q219" s="22">
        <f t="shared" ref="Q219:Q220" si="131">P219*1</f>
        <v>0</v>
      </c>
      <c r="R219" s="23"/>
    </row>
    <row r="220" spans="1:18" ht="18.75" customHeight="1" x14ac:dyDescent="0.35">
      <c r="A220" s="145"/>
      <c r="B220" s="145" t="s">
        <v>10</v>
      </c>
      <c r="C220" s="82">
        <v>50</v>
      </c>
      <c r="D220" s="20">
        <f>ROUND(C220/12,2)</f>
        <v>4.17</v>
      </c>
      <c r="E220" s="20">
        <f>D220*1</f>
        <v>4.17</v>
      </c>
      <c r="F220" s="21"/>
      <c r="G220" s="81">
        <v>86</v>
      </c>
      <c r="H220" s="20">
        <f>ROUND(G220/12,2)</f>
        <v>7.17</v>
      </c>
      <c r="I220" s="20">
        <f>H220*1</f>
        <v>7.17</v>
      </c>
      <c r="J220" s="21"/>
      <c r="K220" s="82"/>
      <c r="L220" s="20">
        <f>ROUND(K220/12,2)</f>
        <v>0</v>
      </c>
      <c r="M220" s="20">
        <f>L220*1</f>
        <v>0</v>
      </c>
      <c r="N220" s="21"/>
      <c r="O220" s="22">
        <f t="shared" si="125"/>
        <v>136</v>
      </c>
      <c r="P220" s="22">
        <f t="shared" si="130"/>
        <v>5.67</v>
      </c>
      <c r="Q220" s="22">
        <f t="shared" si="131"/>
        <v>5.67</v>
      </c>
      <c r="R220" s="23"/>
    </row>
    <row r="221" spans="1:18" ht="18.75" customHeight="1" x14ac:dyDescent="0.35">
      <c r="A221" s="145" t="s">
        <v>75</v>
      </c>
      <c r="B221" s="145" t="s">
        <v>8</v>
      </c>
      <c r="C221" s="82">
        <v>3704</v>
      </c>
      <c r="D221" s="20">
        <f>ROUND(C221/18,2)</f>
        <v>205.78</v>
      </c>
      <c r="E221" s="20"/>
      <c r="F221" s="21">
        <f>SUM(D221,E222:E223)</f>
        <v>208.28</v>
      </c>
      <c r="G221" s="81">
        <v>2080</v>
      </c>
      <c r="H221" s="20">
        <f>ROUND(G221/18,2)</f>
        <v>115.56</v>
      </c>
      <c r="I221" s="20"/>
      <c r="J221" s="21">
        <f>SUM(H221,I222:I223)</f>
        <v>117.06</v>
      </c>
      <c r="K221" s="82"/>
      <c r="L221" s="20">
        <f>ROUND(K221/18,2)</f>
        <v>0</v>
      </c>
      <c r="M221" s="20"/>
      <c r="N221" s="21">
        <f>SUM(L221,M222:M223)</f>
        <v>0</v>
      </c>
      <c r="O221" s="22">
        <f t="shared" si="125"/>
        <v>5784</v>
      </c>
      <c r="P221" s="22">
        <f>ROUND(O221/36,2)</f>
        <v>160.66999999999999</v>
      </c>
      <c r="Q221" s="22"/>
      <c r="R221" s="23">
        <f>SUM(P221,Q222:Q223)</f>
        <v>162.66999999999999</v>
      </c>
    </row>
    <row r="222" spans="1:18" ht="18.75" customHeight="1" x14ac:dyDescent="0.35">
      <c r="A222" s="145"/>
      <c r="B222" s="145" t="s">
        <v>9</v>
      </c>
      <c r="C222" s="82"/>
      <c r="D222" s="20">
        <f>ROUND(C222/12,2)</f>
        <v>0</v>
      </c>
      <c r="E222" s="20">
        <f>D222*1</f>
        <v>0</v>
      </c>
      <c r="F222" s="21"/>
      <c r="G222" s="81"/>
      <c r="H222" s="20">
        <f>ROUND(G222/12,2)</f>
        <v>0</v>
      </c>
      <c r="I222" s="20">
        <f>H222*1</f>
        <v>0</v>
      </c>
      <c r="J222" s="21"/>
      <c r="K222" s="82"/>
      <c r="L222" s="20">
        <f>ROUND(K222/12,2)</f>
        <v>0</v>
      </c>
      <c r="M222" s="20">
        <f>L222*1</f>
        <v>0</v>
      </c>
      <c r="N222" s="21"/>
      <c r="O222" s="22">
        <f t="shared" si="125"/>
        <v>0</v>
      </c>
      <c r="P222" s="22">
        <f t="shared" ref="P222:P223" si="132">ROUND(O222/24,2)</f>
        <v>0</v>
      </c>
      <c r="Q222" s="22">
        <f t="shared" ref="Q222:Q223" si="133">P222*1</f>
        <v>0</v>
      </c>
      <c r="R222" s="23"/>
    </row>
    <row r="223" spans="1:18" ht="18.75" customHeight="1" x14ac:dyDescent="0.35">
      <c r="A223" s="145"/>
      <c r="B223" s="145" t="s">
        <v>10</v>
      </c>
      <c r="C223" s="82">
        <v>30</v>
      </c>
      <c r="D223" s="20">
        <f>ROUND(C223/12,2)</f>
        <v>2.5</v>
      </c>
      <c r="E223" s="20">
        <f>D223*1</f>
        <v>2.5</v>
      </c>
      <c r="F223" s="21"/>
      <c r="G223" s="81">
        <v>18</v>
      </c>
      <c r="H223" s="20">
        <f>ROUND(G223/12,2)</f>
        <v>1.5</v>
      </c>
      <c r="I223" s="20">
        <f>H223*1</f>
        <v>1.5</v>
      </c>
      <c r="J223" s="21"/>
      <c r="K223" s="82"/>
      <c r="L223" s="20">
        <f>ROUND(K223/12,2)</f>
        <v>0</v>
      </c>
      <c r="M223" s="20">
        <f>L223*1</f>
        <v>0</v>
      </c>
      <c r="N223" s="21"/>
      <c r="O223" s="22">
        <f t="shared" si="125"/>
        <v>48</v>
      </c>
      <c r="P223" s="22">
        <f t="shared" si="132"/>
        <v>2</v>
      </c>
      <c r="Q223" s="22">
        <f t="shared" si="133"/>
        <v>2</v>
      </c>
      <c r="R223" s="23"/>
    </row>
    <row r="224" spans="1:18" ht="18.75" customHeight="1" x14ac:dyDescent="0.35">
      <c r="A224" s="145" t="s">
        <v>76</v>
      </c>
      <c r="B224" s="145" t="s">
        <v>8</v>
      </c>
      <c r="C224" s="82">
        <v>4817</v>
      </c>
      <c r="D224" s="20">
        <f>ROUND(C224/18,2)</f>
        <v>267.61</v>
      </c>
      <c r="E224" s="20"/>
      <c r="F224" s="21">
        <f>SUM(D224,E225:E226)</f>
        <v>267.61</v>
      </c>
      <c r="G224" s="81">
        <v>7197</v>
      </c>
      <c r="H224" s="20">
        <f>ROUND(G224/18,2)</f>
        <v>399.83</v>
      </c>
      <c r="I224" s="20"/>
      <c r="J224" s="21">
        <f>SUM(H224,I225:I226)</f>
        <v>399.83</v>
      </c>
      <c r="K224" s="82">
        <v>408</v>
      </c>
      <c r="L224" s="20">
        <f>ROUND(K224/18,2)</f>
        <v>22.67</v>
      </c>
      <c r="M224" s="20"/>
      <c r="N224" s="21">
        <f>SUM(L224,M225:M226)</f>
        <v>22.67</v>
      </c>
      <c r="O224" s="22">
        <f t="shared" si="125"/>
        <v>12422</v>
      </c>
      <c r="P224" s="22">
        <f>ROUND(O224/36,2)</f>
        <v>345.06</v>
      </c>
      <c r="Q224" s="22"/>
      <c r="R224" s="23">
        <f>SUM(P224,Q225:Q226)</f>
        <v>345.06</v>
      </c>
    </row>
    <row r="225" spans="1:18" ht="18.75" customHeight="1" x14ac:dyDescent="0.35">
      <c r="A225" s="145"/>
      <c r="B225" s="145" t="s">
        <v>9</v>
      </c>
      <c r="C225" s="82"/>
      <c r="D225" s="20">
        <f>ROUND(C225/12,2)</f>
        <v>0</v>
      </c>
      <c r="E225" s="20">
        <f>D225*1</f>
        <v>0</v>
      </c>
      <c r="F225" s="21"/>
      <c r="G225" s="81"/>
      <c r="H225" s="20">
        <f>ROUND(G225/12,2)</f>
        <v>0</v>
      </c>
      <c r="I225" s="20">
        <f>H225*1</f>
        <v>0</v>
      </c>
      <c r="J225" s="21"/>
      <c r="K225" s="82"/>
      <c r="L225" s="20">
        <f>ROUND(K225/12,2)</f>
        <v>0</v>
      </c>
      <c r="M225" s="20">
        <f>L225*1</f>
        <v>0</v>
      </c>
      <c r="N225" s="21"/>
      <c r="O225" s="22">
        <f t="shared" si="125"/>
        <v>0</v>
      </c>
      <c r="P225" s="22">
        <f t="shared" ref="P225:P226" si="134">ROUND(O225/24,2)</f>
        <v>0</v>
      </c>
      <c r="Q225" s="22">
        <f t="shared" ref="Q225:Q226" si="135">P225*1</f>
        <v>0</v>
      </c>
      <c r="R225" s="23"/>
    </row>
    <row r="226" spans="1:18" ht="18.75" customHeight="1" x14ac:dyDescent="0.35">
      <c r="A226" s="145"/>
      <c r="B226" s="145" t="s">
        <v>10</v>
      </c>
      <c r="C226" s="82"/>
      <c r="D226" s="20">
        <f>ROUND(C226/12,2)</f>
        <v>0</v>
      </c>
      <c r="E226" s="20">
        <f>D226*1</f>
        <v>0</v>
      </c>
      <c r="F226" s="21"/>
      <c r="G226" s="81"/>
      <c r="H226" s="20">
        <f>ROUND(G226/12,2)</f>
        <v>0</v>
      </c>
      <c r="I226" s="20">
        <f>H226*1</f>
        <v>0</v>
      </c>
      <c r="J226" s="21"/>
      <c r="K226" s="82"/>
      <c r="L226" s="20">
        <f>ROUND(K226/12,2)</f>
        <v>0</v>
      </c>
      <c r="M226" s="20">
        <f>L226*1</f>
        <v>0</v>
      </c>
      <c r="N226" s="21"/>
      <c r="O226" s="22">
        <f t="shared" si="125"/>
        <v>0</v>
      </c>
      <c r="P226" s="22">
        <f t="shared" si="134"/>
        <v>0</v>
      </c>
      <c r="Q226" s="22">
        <f t="shared" si="135"/>
        <v>0</v>
      </c>
      <c r="R226" s="23"/>
    </row>
    <row r="227" spans="1:18" ht="18.75" customHeight="1" x14ac:dyDescent="0.35">
      <c r="A227" s="145" t="s">
        <v>77</v>
      </c>
      <c r="B227" s="145" t="s">
        <v>8</v>
      </c>
      <c r="C227" s="82">
        <v>7413</v>
      </c>
      <c r="D227" s="20">
        <f>ROUND(C227/18,2)</f>
        <v>411.83</v>
      </c>
      <c r="E227" s="20"/>
      <c r="F227" s="21">
        <f>SUM(D227,E228:E229)</f>
        <v>411.83</v>
      </c>
      <c r="G227" s="81">
        <v>7783</v>
      </c>
      <c r="H227" s="20">
        <f>ROUND(G227/18,2)</f>
        <v>432.39</v>
      </c>
      <c r="I227" s="20"/>
      <c r="J227" s="21">
        <f>SUM(H227,I228:I229)</f>
        <v>432.39</v>
      </c>
      <c r="K227" s="82"/>
      <c r="L227" s="20">
        <f>ROUND(K227/18,2)</f>
        <v>0</v>
      </c>
      <c r="M227" s="20"/>
      <c r="N227" s="21">
        <f>SUM(L227,M228:M229)</f>
        <v>0</v>
      </c>
      <c r="O227" s="22">
        <f t="shared" si="125"/>
        <v>15196</v>
      </c>
      <c r="P227" s="22">
        <f>ROUND(O227/36,2)</f>
        <v>422.11</v>
      </c>
      <c r="Q227" s="22"/>
      <c r="R227" s="23">
        <f>SUM(P227,Q228:Q229)</f>
        <v>422.11</v>
      </c>
    </row>
    <row r="228" spans="1:18" ht="18.75" customHeight="1" x14ac:dyDescent="0.35">
      <c r="A228" s="145"/>
      <c r="B228" s="145" t="s">
        <v>9</v>
      </c>
      <c r="C228" s="82"/>
      <c r="D228" s="20">
        <f>ROUND(C228/12,2)</f>
        <v>0</v>
      </c>
      <c r="E228" s="20">
        <f>D228*1</f>
        <v>0</v>
      </c>
      <c r="F228" s="21"/>
      <c r="G228" s="81"/>
      <c r="H228" s="20">
        <f>ROUND(G228/12,2)</f>
        <v>0</v>
      </c>
      <c r="I228" s="20">
        <f>H228*1</f>
        <v>0</v>
      </c>
      <c r="J228" s="21"/>
      <c r="K228" s="82"/>
      <c r="L228" s="20">
        <f>ROUND(K228/12,2)</f>
        <v>0</v>
      </c>
      <c r="M228" s="20">
        <f>L228*1</f>
        <v>0</v>
      </c>
      <c r="N228" s="21"/>
      <c r="O228" s="22">
        <f t="shared" si="125"/>
        <v>0</v>
      </c>
      <c r="P228" s="22">
        <f t="shared" ref="P228:P229" si="136">ROUND(O228/24,2)</f>
        <v>0</v>
      </c>
      <c r="Q228" s="22">
        <f t="shared" ref="Q228:Q229" si="137">P228*1</f>
        <v>0</v>
      </c>
      <c r="R228" s="23"/>
    </row>
    <row r="229" spans="1:18" ht="18.75" customHeight="1" x14ac:dyDescent="0.35">
      <c r="A229" s="145"/>
      <c r="B229" s="145" t="s">
        <v>10</v>
      </c>
      <c r="C229" s="82"/>
      <c r="D229" s="20">
        <f>ROUND(C229/12,2)</f>
        <v>0</v>
      </c>
      <c r="E229" s="20">
        <f>D229*1</f>
        <v>0</v>
      </c>
      <c r="F229" s="21"/>
      <c r="G229" s="81"/>
      <c r="H229" s="20">
        <f>ROUND(G229/12,2)</f>
        <v>0</v>
      </c>
      <c r="I229" s="20">
        <f>H229*1</f>
        <v>0</v>
      </c>
      <c r="J229" s="21"/>
      <c r="K229" s="82"/>
      <c r="L229" s="20">
        <f>ROUND(K229/12,2)</f>
        <v>0</v>
      </c>
      <c r="M229" s="20">
        <f>L229*1</f>
        <v>0</v>
      </c>
      <c r="N229" s="21"/>
      <c r="O229" s="22">
        <f t="shared" si="125"/>
        <v>0</v>
      </c>
      <c r="P229" s="22">
        <f t="shared" si="136"/>
        <v>0</v>
      </c>
      <c r="Q229" s="22">
        <f t="shared" si="137"/>
        <v>0</v>
      </c>
      <c r="R229" s="23"/>
    </row>
    <row r="230" spans="1:18" ht="18.75" customHeight="1" x14ac:dyDescent="0.35">
      <c r="A230" s="145" t="s">
        <v>78</v>
      </c>
      <c r="B230" s="145" t="s">
        <v>8</v>
      </c>
      <c r="C230" s="82">
        <v>126</v>
      </c>
      <c r="D230" s="20">
        <f>ROUND(C230/18,2)</f>
        <v>7</v>
      </c>
      <c r="E230" s="20"/>
      <c r="F230" s="21">
        <f>SUM(D230,E231:E232)</f>
        <v>7</v>
      </c>
      <c r="G230" s="81"/>
      <c r="H230" s="20">
        <f>ROUND(G230/18,2)</f>
        <v>0</v>
      </c>
      <c r="I230" s="20"/>
      <c r="J230" s="21">
        <f>SUM(H230,I231:I232)</f>
        <v>0</v>
      </c>
      <c r="K230" s="82"/>
      <c r="L230" s="20">
        <f>ROUND(K230/18,2)</f>
        <v>0</v>
      </c>
      <c r="M230" s="20"/>
      <c r="N230" s="21">
        <f>SUM(L230,M231:M232)</f>
        <v>0</v>
      </c>
      <c r="O230" s="22">
        <f t="shared" si="125"/>
        <v>126</v>
      </c>
      <c r="P230" s="22">
        <f>ROUND(O230/36,2)</f>
        <v>3.5</v>
      </c>
      <c r="Q230" s="22"/>
      <c r="R230" s="23">
        <f>SUM(P230,Q231:Q232)</f>
        <v>3.5</v>
      </c>
    </row>
    <row r="231" spans="1:18" ht="18.75" customHeight="1" x14ac:dyDescent="0.35">
      <c r="A231" s="145"/>
      <c r="B231" s="145" t="s">
        <v>9</v>
      </c>
      <c r="C231" s="82"/>
      <c r="D231" s="20">
        <f>ROUND(C231/12,2)</f>
        <v>0</v>
      </c>
      <c r="E231" s="20">
        <f>D231*1</f>
        <v>0</v>
      </c>
      <c r="F231" s="21"/>
      <c r="G231" s="81"/>
      <c r="H231" s="20">
        <f>ROUND(G231/12,2)</f>
        <v>0</v>
      </c>
      <c r="I231" s="20">
        <f>H231*1</f>
        <v>0</v>
      </c>
      <c r="J231" s="21"/>
      <c r="K231" s="82"/>
      <c r="L231" s="20">
        <f>ROUND(K231/12,2)</f>
        <v>0</v>
      </c>
      <c r="M231" s="20">
        <f>L231*1</f>
        <v>0</v>
      </c>
      <c r="N231" s="21"/>
      <c r="O231" s="22">
        <f t="shared" si="125"/>
        <v>0</v>
      </c>
      <c r="P231" s="22">
        <f t="shared" ref="P231:P232" si="138">ROUND(O231/24,2)</f>
        <v>0</v>
      </c>
      <c r="Q231" s="22">
        <f t="shared" ref="Q231:Q232" si="139">P231*1</f>
        <v>0</v>
      </c>
      <c r="R231" s="23"/>
    </row>
    <row r="232" spans="1:18" ht="18.75" customHeight="1" x14ac:dyDescent="0.35">
      <c r="A232" s="145"/>
      <c r="B232" s="145" t="s">
        <v>10</v>
      </c>
      <c r="C232" s="82"/>
      <c r="D232" s="20">
        <f>ROUND(C232/12,2)</f>
        <v>0</v>
      </c>
      <c r="E232" s="20">
        <f>D232*1</f>
        <v>0</v>
      </c>
      <c r="F232" s="21"/>
      <c r="G232" s="81"/>
      <c r="H232" s="20">
        <f>ROUND(G232/12,2)</f>
        <v>0</v>
      </c>
      <c r="I232" s="20">
        <f>H232*1</f>
        <v>0</v>
      </c>
      <c r="J232" s="21"/>
      <c r="K232" s="97"/>
      <c r="L232" s="38">
        <f>ROUND(K232/12,2)</f>
        <v>0</v>
      </c>
      <c r="M232" s="38">
        <f>L232*1</f>
        <v>0</v>
      </c>
      <c r="N232" s="39"/>
      <c r="O232" s="22">
        <f t="shared" si="125"/>
        <v>0</v>
      </c>
      <c r="P232" s="22">
        <f t="shared" si="138"/>
        <v>0</v>
      </c>
      <c r="Q232" s="22">
        <f t="shared" si="139"/>
        <v>0</v>
      </c>
      <c r="R232" s="23"/>
    </row>
    <row r="233" spans="1:18" ht="18.75" customHeight="1" x14ac:dyDescent="0.35">
      <c r="A233" s="177" t="s">
        <v>22</v>
      </c>
      <c r="B233" s="151" t="s">
        <v>8</v>
      </c>
      <c r="C233" s="93">
        <f>SUMIF($B$214:$B$232,"ปริญญาตรี",C214:C232)</f>
        <v>19096</v>
      </c>
      <c r="D233" s="251">
        <f>ROUND(C233/18,2)</f>
        <v>1060.8900000000001</v>
      </c>
      <c r="E233" s="251"/>
      <c r="F233" s="252">
        <f>SUM(D233,E234:E235)</f>
        <v>1067.5600000000002</v>
      </c>
      <c r="G233" s="253">
        <f>SUMIF($B$214:$B$232,"ปริญญาตรี",G214:G232)</f>
        <v>20754</v>
      </c>
      <c r="H233" s="251">
        <f>ROUND(G233/18,2)</f>
        <v>1153</v>
      </c>
      <c r="I233" s="251"/>
      <c r="J233" s="252">
        <f>SUM(H233,I234:I235)</f>
        <v>1161.67</v>
      </c>
      <c r="K233" s="253">
        <f>SUMIF($B$214:$B$232,"ปริญญาตรี",K214:K232)</f>
        <v>408</v>
      </c>
      <c r="L233" s="254">
        <f>ROUND(K233/18,2)</f>
        <v>22.67</v>
      </c>
      <c r="M233" s="254"/>
      <c r="N233" s="255">
        <f>SUM(L233,M234:M235)</f>
        <v>22.67</v>
      </c>
      <c r="O233" s="256">
        <f t="shared" si="125"/>
        <v>40258</v>
      </c>
      <c r="P233" s="257">
        <f>ROUND(O233/36,2)</f>
        <v>1118.28</v>
      </c>
      <c r="Q233" s="257"/>
      <c r="R233" s="258">
        <f>SUM(P233,Q234:Q235)</f>
        <v>1125.95</v>
      </c>
    </row>
    <row r="234" spans="1:18" ht="18.75" customHeight="1" x14ac:dyDescent="0.35">
      <c r="A234" s="174" t="s">
        <v>22</v>
      </c>
      <c r="B234" s="151" t="s">
        <v>9</v>
      </c>
      <c r="C234" s="93">
        <f>SUMIF($B$214:$B$232,"ปริญญาโท",C214:C232)</f>
        <v>0</v>
      </c>
      <c r="D234" s="251">
        <f>ROUND(C234/12,2)</f>
        <v>0</v>
      </c>
      <c r="E234" s="251">
        <f>D234*1</f>
        <v>0</v>
      </c>
      <c r="F234" s="252"/>
      <c r="G234" s="253">
        <f>SUMIF($B$214:$B$232,"ปริญญาโท",G214:G232)</f>
        <v>0</v>
      </c>
      <c r="H234" s="251">
        <f>ROUND(G234/12,2)</f>
        <v>0</v>
      </c>
      <c r="I234" s="251">
        <f>H234*1</f>
        <v>0</v>
      </c>
      <c r="J234" s="252"/>
      <c r="K234" s="253">
        <f>SUMIF($B$214:$B$232,"ปริญญาโท",K214:K232)</f>
        <v>0</v>
      </c>
      <c r="L234" s="251">
        <f>ROUND(K234/12,2)</f>
        <v>0</v>
      </c>
      <c r="M234" s="251">
        <f>L234*1</f>
        <v>0</v>
      </c>
      <c r="N234" s="252"/>
      <c r="O234" s="256">
        <f t="shared" si="125"/>
        <v>0</v>
      </c>
      <c r="P234" s="257">
        <f t="shared" ref="P234:P235" si="140">ROUND(O234/24,2)</f>
        <v>0</v>
      </c>
      <c r="Q234" s="257">
        <f t="shared" ref="Q234:Q235" si="141">P234*1</f>
        <v>0</v>
      </c>
      <c r="R234" s="258"/>
    </row>
    <row r="235" spans="1:18" ht="18.75" customHeight="1" thickBot="1" x14ac:dyDescent="0.4">
      <c r="A235" s="175" t="s">
        <v>22</v>
      </c>
      <c r="B235" s="152" t="s">
        <v>10</v>
      </c>
      <c r="C235" s="94">
        <f>SUMIF($B$214:$B$232,"ปริญญาเอก",C214:C232)</f>
        <v>80</v>
      </c>
      <c r="D235" s="259">
        <f>ROUND(C235/12,2)</f>
        <v>6.67</v>
      </c>
      <c r="E235" s="259">
        <f>D235*1</f>
        <v>6.67</v>
      </c>
      <c r="F235" s="260"/>
      <c r="G235" s="261">
        <f>SUMIF($B$214:$B$232,"ปริญญาเอก",G214:G232)</f>
        <v>104</v>
      </c>
      <c r="H235" s="259">
        <f>ROUND(G235/12,2)</f>
        <v>8.67</v>
      </c>
      <c r="I235" s="259">
        <f>H235*1</f>
        <v>8.67</v>
      </c>
      <c r="J235" s="260"/>
      <c r="K235" s="261">
        <f>SUMIF($B$214:$B$232,"ปริญญาเอก",K214:K232)</f>
        <v>0</v>
      </c>
      <c r="L235" s="259">
        <f>ROUND(K235/12,2)</f>
        <v>0</v>
      </c>
      <c r="M235" s="259">
        <f>L235*1</f>
        <v>0</v>
      </c>
      <c r="N235" s="260"/>
      <c r="O235" s="262">
        <f t="shared" si="125"/>
        <v>184</v>
      </c>
      <c r="P235" s="263">
        <f t="shared" si="140"/>
        <v>7.67</v>
      </c>
      <c r="Q235" s="263">
        <f t="shared" si="141"/>
        <v>7.67</v>
      </c>
      <c r="R235" s="264"/>
    </row>
    <row r="236" spans="1:18" ht="18.75" customHeight="1" x14ac:dyDescent="0.35">
      <c r="A236" s="148" t="s">
        <v>79</v>
      </c>
      <c r="B236" s="149"/>
      <c r="C236" s="80"/>
      <c r="D236" s="28"/>
      <c r="E236" s="28"/>
      <c r="F236" s="29"/>
      <c r="G236" s="79"/>
      <c r="H236" s="28"/>
      <c r="I236" s="28"/>
      <c r="J236" s="29"/>
      <c r="K236" s="80"/>
      <c r="L236" s="28"/>
      <c r="M236" s="28"/>
      <c r="N236" s="29"/>
      <c r="O236" s="30"/>
      <c r="P236" s="30"/>
      <c r="Q236" s="30"/>
      <c r="R236" s="31"/>
    </row>
    <row r="237" spans="1:18" ht="18.75" customHeight="1" x14ac:dyDescent="0.35">
      <c r="A237" s="145" t="s">
        <v>7</v>
      </c>
      <c r="B237" s="145" t="s">
        <v>8</v>
      </c>
      <c r="C237" s="82">
        <v>11637</v>
      </c>
      <c r="D237" s="20">
        <f>ROUND(C237/18,2)</f>
        <v>646.5</v>
      </c>
      <c r="E237" s="20"/>
      <c r="F237" s="21">
        <f>SUM(D237,E238:E239)</f>
        <v>646.5</v>
      </c>
      <c r="G237" s="81">
        <v>8728</v>
      </c>
      <c r="H237" s="20">
        <f>ROUND(G237/18,2)</f>
        <v>484.89</v>
      </c>
      <c r="I237" s="20"/>
      <c r="J237" s="21">
        <f>SUM(H237,I238:I239)</f>
        <v>484.89</v>
      </c>
      <c r="K237" s="82">
        <v>12</v>
      </c>
      <c r="L237" s="20">
        <f>ROUND(K237/18,2)</f>
        <v>0.67</v>
      </c>
      <c r="M237" s="20"/>
      <c r="N237" s="21">
        <f>SUM(L237,M238:M239)</f>
        <v>0.67</v>
      </c>
      <c r="O237" s="22">
        <f t="shared" si="125"/>
        <v>20377</v>
      </c>
      <c r="P237" s="22">
        <f>ROUND(O237/36,2)</f>
        <v>566.03</v>
      </c>
      <c r="Q237" s="22"/>
      <c r="R237" s="23">
        <f>SUM(P237,Q238:Q239)</f>
        <v>566.03</v>
      </c>
    </row>
    <row r="238" spans="1:18" ht="18.75" customHeight="1" x14ac:dyDescent="0.35">
      <c r="A238" s="163"/>
      <c r="B238" s="145" t="s">
        <v>9</v>
      </c>
      <c r="C238" s="82"/>
      <c r="D238" s="20">
        <f>ROUND(C238/12,2)</f>
        <v>0</v>
      </c>
      <c r="E238" s="20">
        <f>D238*1.8</f>
        <v>0</v>
      </c>
      <c r="F238" s="21"/>
      <c r="G238" s="81"/>
      <c r="H238" s="20">
        <f>ROUND(G238/12,2)</f>
        <v>0</v>
      </c>
      <c r="I238" s="20">
        <f>H238*1.8</f>
        <v>0</v>
      </c>
      <c r="J238" s="21"/>
      <c r="K238" s="82"/>
      <c r="L238" s="20">
        <f>ROUND(K238/12,2)</f>
        <v>0</v>
      </c>
      <c r="M238" s="20">
        <f>L238*1.8</f>
        <v>0</v>
      </c>
      <c r="N238" s="21"/>
      <c r="O238" s="22">
        <f t="shared" si="125"/>
        <v>0</v>
      </c>
      <c r="P238" s="22">
        <f t="shared" ref="P238:P239" si="142">ROUND(O238/24,2)</f>
        <v>0</v>
      </c>
      <c r="Q238" s="22">
        <f t="shared" ref="Q238:Q239" si="143">P238*1.8</f>
        <v>0</v>
      </c>
      <c r="R238" s="23"/>
    </row>
    <row r="239" spans="1:18" ht="18.75" customHeight="1" thickBot="1" x14ac:dyDescent="0.4">
      <c r="A239" s="164"/>
      <c r="B239" s="146" t="s">
        <v>10</v>
      </c>
      <c r="C239" s="84"/>
      <c r="D239" s="24">
        <f>ROUND(C239/12,2)</f>
        <v>0</v>
      </c>
      <c r="E239" s="24">
        <f>D239*1.8</f>
        <v>0</v>
      </c>
      <c r="F239" s="25"/>
      <c r="G239" s="83"/>
      <c r="H239" s="24">
        <f>ROUND(G239/12,2)</f>
        <v>0</v>
      </c>
      <c r="I239" s="24">
        <f>H239*1.8</f>
        <v>0</v>
      </c>
      <c r="J239" s="25"/>
      <c r="K239" s="84"/>
      <c r="L239" s="24">
        <f>ROUND(K239/12,2)</f>
        <v>0</v>
      </c>
      <c r="M239" s="24">
        <f>L239*1.8</f>
        <v>0</v>
      </c>
      <c r="N239" s="25"/>
      <c r="O239" s="92">
        <f t="shared" si="125"/>
        <v>0</v>
      </c>
      <c r="P239" s="26">
        <f t="shared" si="142"/>
        <v>0</v>
      </c>
      <c r="Q239" s="26">
        <f t="shared" si="143"/>
        <v>0</v>
      </c>
      <c r="R239" s="27"/>
    </row>
    <row r="240" spans="1:18" ht="18.75" customHeight="1" x14ac:dyDescent="0.35">
      <c r="A240" s="148" t="s">
        <v>80</v>
      </c>
      <c r="B240" s="149"/>
      <c r="C240" s="80"/>
      <c r="D240" s="28"/>
      <c r="E240" s="28"/>
      <c r="F240" s="29"/>
      <c r="G240" s="79"/>
      <c r="H240" s="28"/>
      <c r="I240" s="28"/>
      <c r="J240" s="29"/>
      <c r="K240" s="80"/>
      <c r="L240" s="28"/>
      <c r="M240" s="28"/>
      <c r="N240" s="29"/>
      <c r="O240" s="30"/>
      <c r="P240" s="30"/>
      <c r="Q240" s="30"/>
      <c r="R240" s="31"/>
    </row>
    <row r="241" spans="1:26" ht="18.75" customHeight="1" x14ac:dyDescent="0.35">
      <c r="A241" s="145" t="s">
        <v>7</v>
      </c>
      <c r="B241" s="145" t="s">
        <v>8</v>
      </c>
      <c r="C241" s="82">
        <v>0</v>
      </c>
      <c r="D241" s="20">
        <f>ROUND(C241/18,2)</f>
        <v>0</v>
      </c>
      <c r="E241" s="20"/>
      <c r="F241" s="21">
        <f>SUM(D241,E242:E243)</f>
        <v>0</v>
      </c>
      <c r="G241" s="81"/>
      <c r="H241" s="20">
        <f>ROUND(G241/18,2)</f>
        <v>0</v>
      </c>
      <c r="I241" s="20"/>
      <c r="J241" s="21">
        <f>SUM(H241,I242:I243)</f>
        <v>0</v>
      </c>
      <c r="K241" s="82"/>
      <c r="L241" s="20">
        <f>ROUND(K241/18,2)</f>
        <v>0</v>
      </c>
      <c r="M241" s="20"/>
      <c r="N241" s="21">
        <f>SUM(L241,M242:M243)</f>
        <v>0</v>
      </c>
      <c r="O241" s="22">
        <f t="shared" si="125"/>
        <v>0</v>
      </c>
      <c r="P241" s="22">
        <f>ROUND(O241/36,2)</f>
        <v>0</v>
      </c>
      <c r="Q241" s="22"/>
      <c r="R241" s="23">
        <f>SUM(P241,Q242:Q243)</f>
        <v>0</v>
      </c>
    </row>
    <row r="242" spans="1:26" ht="18.75" customHeight="1" x14ac:dyDescent="0.35">
      <c r="A242" s="176"/>
      <c r="B242" s="145" t="s">
        <v>9</v>
      </c>
      <c r="C242" s="82"/>
      <c r="D242" s="20">
        <f>ROUND(C242/12,2)</f>
        <v>0</v>
      </c>
      <c r="E242" s="20">
        <f>D242*1.8</f>
        <v>0</v>
      </c>
      <c r="F242" s="21"/>
      <c r="G242" s="81"/>
      <c r="H242" s="20">
        <f>ROUND(G242/12,2)</f>
        <v>0</v>
      </c>
      <c r="I242" s="20">
        <f>H242*1.8</f>
        <v>0</v>
      </c>
      <c r="J242" s="21"/>
      <c r="K242" s="82"/>
      <c r="L242" s="20">
        <f>ROUND(K242/12,2)</f>
        <v>0</v>
      </c>
      <c r="M242" s="20">
        <f>L242*1.8</f>
        <v>0</v>
      </c>
      <c r="N242" s="21"/>
      <c r="O242" s="22">
        <f t="shared" si="125"/>
        <v>0</v>
      </c>
      <c r="P242" s="22">
        <f t="shared" ref="P242:P243" si="144">ROUND(O242/24,2)</f>
        <v>0</v>
      </c>
      <c r="Q242" s="22">
        <f t="shared" ref="Q242:Q243" si="145">P242*1.8</f>
        <v>0</v>
      </c>
      <c r="R242" s="23"/>
    </row>
    <row r="243" spans="1:26" ht="18.75" customHeight="1" thickBot="1" x14ac:dyDescent="0.4">
      <c r="A243" s="164"/>
      <c r="B243" s="146" t="s">
        <v>10</v>
      </c>
      <c r="C243" s="84"/>
      <c r="D243" s="24">
        <f>ROUND(C243/12,2)</f>
        <v>0</v>
      </c>
      <c r="E243" s="24">
        <f>D243*1.8</f>
        <v>0</v>
      </c>
      <c r="F243" s="25"/>
      <c r="G243" s="83"/>
      <c r="H243" s="24">
        <f>ROUND(G243/12,2)</f>
        <v>0</v>
      </c>
      <c r="I243" s="24">
        <f>H243*1.8</f>
        <v>0</v>
      </c>
      <c r="J243" s="25"/>
      <c r="K243" s="84"/>
      <c r="L243" s="24">
        <f>ROUND(K243/12,2)</f>
        <v>0</v>
      </c>
      <c r="M243" s="24">
        <f>L243*1.8</f>
        <v>0</v>
      </c>
      <c r="N243" s="25"/>
      <c r="O243" s="92">
        <f t="shared" si="125"/>
        <v>0</v>
      </c>
      <c r="P243" s="26">
        <f t="shared" si="144"/>
        <v>0</v>
      </c>
      <c r="Q243" s="26">
        <f t="shared" si="145"/>
        <v>0</v>
      </c>
      <c r="R243" s="27"/>
    </row>
    <row r="244" spans="1:26" ht="18.75" customHeight="1" x14ac:dyDescent="0.35">
      <c r="A244" s="148" t="s">
        <v>81</v>
      </c>
      <c r="B244" s="149"/>
      <c r="C244" s="80"/>
      <c r="D244" s="28"/>
      <c r="E244" s="28"/>
      <c r="F244" s="29"/>
      <c r="G244" s="79"/>
      <c r="H244" s="28"/>
      <c r="I244" s="28"/>
      <c r="J244" s="29"/>
      <c r="K244" s="80"/>
      <c r="L244" s="28"/>
      <c r="M244" s="28"/>
      <c r="N244" s="29"/>
      <c r="O244" s="30"/>
      <c r="P244" s="30"/>
      <c r="Q244" s="30"/>
      <c r="R244" s="31"/>
      <c r="S244" s="65"/>
      <c r="T244" s="65"/>
      <c r="U244" s="65"/>
      <c r="V244" s="65"/>
      <c r="W244" s="65"/>
      <c r="X244" s="65"/>
      <c r="Y244" s="65"/>
      <c r="Z244" s="65"/>
    </row>
    <row r="245" spans="1:26" ht="18.75" customHeight="1" x14ac:dyDescent="0.35">
      <c r="A245" s="145" t="s">
        <v>7</v>
      </c>
      <c r="B245" s="145" t="s">
        <v>8</v>
      </c>
      <c r="C245" s="82">
        <v>18075</v>
      </c>
      <c r="D245" s="20">
        <f>ROUND(C245/18,2)</f>
        <v>1004.17</v>
      </c>
      <c r="E245" s="20"/>
      <c r="F245" s="21">
        <f>SUM(D245,E246:E247)</f>
        <v>1004.17</v>
      </c>
      <c r="G245" s="81">
        <v>17201</v>
      </c>
      <c r="H245" s="20">
        <f>ROUND(G245/18,2)</f>
        <v>955.61</v>
      </c>
      <c r="I245" s="20"/>
      <c r="J245" s="21">
        <f>SUM(H245,I246:I247)</f>
        <v>955.61</v>
      </c>
      <c r="K245" s="82"/>
      <c r="L245" s="20">
        <f>ROUND(K245/18,2)</f>
        <v>0</v>
      </c>
      <c r="M245" s="20"/>
      <c r="N245" s="21">
        <f>SUM(L245,M246:M247)</f>
        <v>0</v>
      </c>
      <c r="O245" s="22">
        <f t="shared" si="125"/>
        <v>35276</v>
      </c>
      <c r="P245" s="22">
        <f>ROUND(O245/36,2)</f>
        <v>979.89</v>
      </c>
      <c r="Q245" s="22"/>
      <c r="R245" s="23">
        <f>SUM(P245,Q246:Q247)</f>
        <v>979.89</v>
      </c>
      <c r="S245" s="65"/>
      <c r="T245" s="65"/>
      <c r="U245" s="65"/>
      <c r="V245" s="65"/>
      <c r="W245" s="65"/>
      <c r="X245" s="65"/>
      <c r="Y245" s="65"/>
      <c r="Z245" s="65"/>
    </row>
    <row r="246" spans="1:26" ht="18.75" customHeight="1" x14ac:dyDescent="0.35">
      <c r="A246" s="176"/>
      <c r="B246" s="145" t="s">
        <v>9</v>
      </c>
      <c r="C246" s="82"/>
      <c r="D246" s="20">
        <f>ROUND(C246/12,2)</f>
        <v>0</v>
      </c>
      <c r="E246" s="20">
        <f>D246*1.8</f>
        <v>0</v>
      </c>
      <c r="F246" s="21"/>
      <c r="G246" s="81"/>
      <c r="H246" s="20">
        <f>ROUND(G246/12,2)</f>
        <v>0</v>
      </c>
      <c r="I246" s="20">
        <f>H246*1.8</f>
        <v>0</v>
      </c>
      <c r="J246" s="21"/>
      <c r="K246" s="82"/>
      <c r="L246" s="20">
        <f>ROUND(K246/12,2)</f>
        <v>0</v>
      </c>
      <c r="M246" s="20">
        <f>L246*1.8</f>
        <v>0</v>
      </c>
      <c r="N246" s="21"/>
      <c r="O246" s="22">
        <f t="shared" si="125"/>
        <v>0</v>
      </c>
      <c r="P246" s="22">
        <f t="shared" ref="P246:P247" si="146">ROUND(O246/24,2)</f>
        <v>0</v>
      </c>
      <c r="Q246" s="22">
        <f t="shared" ref="Q246:Q247" si="147">P246*1.8</f>
        <v>0</v>
      </c>
      <c r="R246" s="23"/>
      <c r="S246" s="65"/>
      <c r="T246" s="65"/>
      <c r="U246" s="65"/>
      <c r="V246" s="65"/>
      <c r="W246" s="65"/>
      <c r="X246" s="65"/>
      <c r="Y246" s="65"/>
      <c r="Z246" s="65"/>
    </row>
    <row r="247" spans="1:26" ht="18.75" customHeight="1" thickBot="1" x14ac:dyDescent="0.4">
      <c r="A247" s="164"/>
      <c r="B247" s="146" t="s">
        <v>10</v>
      </c>
      <c r="C247" s="84"/>
      <c r="D247" s="24">
        <f>ROUND(C247/12,2)</f>
        <v>0</v>
      </c>
      <c r="E247" s="24">
        <f>D247*1.8</f>
        <v>0</v>
      </c>
      <c r="F247" s="25"/>
      <c r="G247" s="83"/>
      <c r="H247" s="24">
        <f>ROUND(G247/12,2)</f>
        <v>0</v>
      </c>
      <c r="I247" s="24">
        <f>H247*1.8</f>
        <v>0</v>
      </c>
      <c r="J247" s="25"/>
      <c r="K247" s="84"/>
      <c r="L247" s="24">
        <f>ROUND(K247/12,2)</f>
        <v>0</v>
      </c>
      <c r="M247" s="24">
        <f>L247*1.8</f>
        <v>0</v>
      </c>
      <c r="N247" s="25"/>
      <c r="O247" s="92">
        <f t="shared" si="125"/>
        <v>0</v>
      </c>
      <c r="P247" s="26">
        <f t="shared" si="146"/>
        <v>0</v>
      </c>
      <c r="Q247" s="26">
        <f t="shared" si="147"/>
        <v>0</v>
      </c>
      <c r="R247" s="27"/>
      <c r="S247" s="65"/>
      <c r="T247" s="65"/>
      <c r="U247" s="65"/>
      <c r="V247" s="65"/>
      <c r="W247" s="65"/>
      <c r="X247" s="65"/>
      <c r="Y247" s="65"/>
      <c r="Z247" s="65"/>
    </row>
    <row r="248" spans="1:26" ht="18.75" customHeight="1" x14ac:dyDescent="0.35">
      <c r="A248" s="165" t="s">
        <v>82</v>
      </c>
      <c r="B248" s="155" t="s">
        <v>8</v>
      </c>
      <c r="C248" s="223">
        <f>SUMIFS(C4:C247, $B$4:$B$247, "ปริญญาตรี", $A$4:$A$247, "&lt;&gt;รวมทั้งคณะ")</f>
        <v>384507</v>
      </c>
      <c r="D248" s="224">
        <f>SUMIFS(D4:D247, $B$4:$B$247, "ปริญญาตรี", $A$4:$A$247, "&lt;&gt;รวมทั้งคณะ")</f>
        <v>21361.530000000006</v>
      </c>
      <c r="E248" s="225"/>
      <c r="F248" s="226">
        <f>ROUND(SUM(D248,E249:E251),2)</f>
        <v>21990.67</v>
      </c>
      <c r="G248" s="223">
        <f>SUMIFS(G4:G247, $B$4:$B$247, "ปริญญาตรี", $A$4:$A$247, "&lt;&gt;รวมทั้งคณะ")</f>
        <v>354310</v>
      </c>
      <c r="H248" s="224">
        <f>SUMIFS(H4:H247, $B$4:$B$247, "ปริญญาตรี", $A$4:$A$247, "&lt;&gt;รวมทั้งคณะ")</f>
        <v>19683.890000000003</v>
      </c>
      <c r="I248" s="225"/>
      <c r="J248" s="226">
        <f>ROUND(SUM(H248,I249:I251),2)</f>
        <v>20293.95</v>
      </c>
      <c r="K248" s="223">
        <f>SUMIFS(K4:K247, $B$4:$B$247, "ปริญญาตรี", $A$4:$A$247, "&lt;&gt;รวมทั้งคณะ")</f>
        <v>5329</v>
      </c>
      <c r="L248" s="224">
        <f>SUMIFS(L4:L247, $B$4:$B$247, "ปริญญาตรี", $A$4:$A$247, "&lt;&gt;รวมทั้งคณะ")</f>
        <v>296.06000000000012</v>
      </c>
      <c r="M248" s="225"/>
      <c r="N248" s="226">
        <f>ROUND(SUM(L248,M249:M251),2)</f>
        <v>313.81</v>
      </c>
      <c r="O248" s="223">
        <f>SUMIFS(O4:O247, $B$4:$B$247, "ปริญญาตรี", $A$4:$A$247, "&lt;&gt;รวมทั้งคณะ")</f>
        <v>744146</v>
      </c>
      <c r="P248" s="224">
        <f>SUMIFS(P4:P247, $B$4:$B$247, "ปริญญาตรี", $A$4:$A$247, "&lt;&gt;รวมทั้งคณะ")</f>
        <v>20670.72</v>
      </c>
      <c r="Q248" s="225"/>
      <c r="R248" s="226">
        <f>ROUND(SUM(P248,Q249:Q251),2)</f>
        <v>21299.26</v>
      </c>
    </row>
    <row r="249" spans="1:26" ht="18.75" customHeight="1" x14ac:dyDescent="0.35">
      <c r="A249" s="166" t="s">
        <v>82</v>
      </c>
      <c r="B249" s="155" t="s">
        <v>64</v>
      </c>
      <c r="C249" s="42">
        <f>SUMIFS(C4:C247, $B$4:$B$247, "ป.บัณฑิต", $A$4:$A$247, "&lt;&gt;รวมทั้งคณะ")</f>
        <v>0</v>
      </c>
      <c r="D249" s="46">
        <f>SUMIFS(D4:D247, $B$4:$B$247, "ป.บัณฑิต", $A$4:$A$247, "&lt;&gt;รวมทั้งคณะ")</f>
        <v>0</v>
      </c>
      <c r="E249" s="129">
        <f>SUMIFS(E4:E247, $B$4:$B$247, "ป.บัณฑิต", $A$4:$A$247, "&lt;&gt;รวมทั้งคณะ")</f>
        <v>0</v>
      </c>
      <c r="F249" s="45"/>
      <c r="G249" s="42">
        <f>SUMIFS(G4:G247, $B$4:$B$247, "ป.บัณฑิต", $A$4:$A$247, "&lt;&gt;รวมทั้งคณะ")</f>
        <v>0</v>
      </c>
      <c r="H249" s="46">
        <f>SUMIFS(H4:H247, $B$4:$B$247, "ป.บัณฑิต", $A$4:$A$247, "&lt;&gt;รวมทั้งคณะ")</f>
        <v>0</v>
      </c>
      <c r="I249" s="129">
        <f>SUMIFS(I4:I247, $B$4:$B$247, "ป.บัณฑิต", $A$4:$A$247, "&lt;&gt;รวมทั้งคณะ")</f>
        <v>0</v>
      </c>
      <c r="J249" s="45"/>
      <c r="K249" s="42">
        <f>SUMIFS(K4:K247, $B$4:$B$247, "ป.บัณฑิต", $A$4:$A$247, "&lt;&gt;รวมทั้งคณะ")</f>
        <v>0</v>
      </c>
      <c r="L249" s="46">
        <f>SUMIFS(L4:L247, $B$4:$B$247, "ป.บัณฑิต", $A$4:$A$247, "&lt;&gt;รวมทั้งคณะ")</f>
        <v>0</v>
      </c>
      <c r="M249" s="129">
        <f>SUMIFS(M4:M247, $B$4:$B$247, "ป.บัณฑิต", $A$4:$A$247, "&lt;&gt;รวมทั้งคณะ")</f>
        <v>0</v>
      </c>
      <c r="N249" s="45"/>
      <c r="O249" s="42">
        <f>SUMIFS(O4:O247, $B$4:$B$247, "ป.บัณฑิต", $A$4:$A$247, "&lt;&gt;รวมทั้งคณะ")</f>
        <v>0</v>
      </c>
      <c r="P249" s="46">
        <f>SUMIFS(P4:P247, $B$4:$B$247, "ป.บัณฑิต", $A$4:$A$247, "&lt;&gt;รวมทั้งคณะ")</f>
        <v>0</v>
      </c>
      <c r="Q249" s="129">
        <f>SUMIFS(Q4:Q247, $B$4:$B$247, "ป.บัณฑิต", $A$4:$A$247, "&lt;&gt;รวมทั้งคณะ")</f>
        <v>0</v>
      </c>
      <c r="R249" s="45"/>
    </row>
    <row r="250" spans="1:26" ht="18.75" customHeight="1" x14ac:dyDescent="0.35">
      <c r="A250" s="166" t="s">
        <v>82</v>
      </c>
      <c r="B250" s="155" t="s">
        <v>9</v>
      </c>
      <c r="C250" s="42">
        <f>SUMIFS(C4:C247, $B$4:$B$247, "ปริญญาโท", $A$4:$A$247, "&lt;&gt;รวมทั้งคณะ")</f>
        <v>2888</v>
      </c>
      <c r="D250" s="46">
        <f>SUMIFS(D4:D247, $B$4:$B$247, "ปริญญาโท", $A$4:$A$247, "&lt;&gt;รวมทั้งคณะ")</f>
        <v>240.67999999999995</v>
      </c>
      <c r="E250" s="40">
        <f>SUMIFS(E4:E247, $B$4:$B$247, "ปริญญาโท", $A$4:$A$247, "&lt;&gt;รวมทั้งคณะ")</f>
        <v>367.16099999999994</v>
      </c>
      <c r="F250" s="45"/>
      <c r="G250" s="42">
        <f>SUMIFS(G4:G247, $B$4:$B$247, "ปริญญาโท", $A$4:$A$247, "&lt;&gt;รวมทั้งคณะ")</f>
        <v>3033</v>
      </c>
      <c r="H250" s="46">
        <f>SUMIFS(H4:H247, $B$4:$B$247, "ปริญญาโท", $A$4:$A$247, "&lt;&gt;รวมทั้งคณะ")</f>
        <v>252.75</v>
      </c>
      <c r="I250" s="40">
        <f>SUMIFS(I4:I247, $B$4:$B$247, "ปริญญาโท", $A$4:$A$247, "&lt;&gt;รวมทั้งคณะ")</f>
        <v>374.45500000000004</v>
      </c>
      <c r="J250" s="45"/>
      <c r="K250" s="42">
        <f>SUMIFS(K4:K247, $B$4:$B$247, "ปริญญาโท", $A$4:$A$247, "&lt;&gt;รวมทั้งคณะ")</f>
        <v>141</v>
      </c>
      <c r="L250" s="46">
        <f>SUMIFS(L4:L247, $B$4:$B$247, "ปริญญาโท", $A$4:$A$247, "&lt;&gt;รวมทั้งคณะ")</f>
        <v>11.75</v>
      </c>
      <c r="M250" s="40">
        <f>SUMIFS(M4:M247, $B$4:$B$247, "ปริญญาโท", $A$4:$A$247, "&lt;&gt;รวมทั้งคณะ")</f>
        <v>17.75</v>
      </c>
      <c r="N250" s="45"/>
      <c r="O250" s="42">
        <f>SUMIFS(O4:O247, $B$4:$B$247, "ปริญญาโท", $A$4:$A$247, "&lt;&gt;รวมทั้งคณะ")</f>
        <v>6062</v>
      </c>
      <c r="P250" s="46">
        <f>SUMIFS(P4:P247, $B$4:$B$247, "ปริญญาโท", $A$4:$A$247, "&lt;&gt;รวมทั้งคณะ")</f>
        <v>252.59999999999997</v>
      </c>
      <c r="Q250" s="40">
        <f>SUMIFS(Q4:Q247, $B$4:$B$247, "ปริญญาโท", $A$4:$A$247, "&lt;&gt;รวมทั้งคณะ")</f>
        <v>379.69300000000004</v>
      </c>
      <c r="R250" s="45"/>
    </row>
    <row r="251" spans="1:26" ht="18.75" customHeight="1" thickBot="1" x14ac:dyDescent="0.4">
      <c r="A251" s="167" t="s">
        <v>82</v>
      </c>
      <c r="B251" s="156" t="s">
        <v>10</v>
      </c>
      <c r="C251" s="49">
        <f>SUMIFS(C4:C247, $B$4:$B$247, "ปริญญาเอก", $A$4:$A$247, "&lt;&gt;รวมทั้งคณะ")</f>
        <v>2027</v>
      </c>
      <c r="D251" s="50">
        <f>SUMIFS(D4:D247, $B$4:$B$247, "ปริญญาเอก", $A$4:$A$247, "&lt;&gt;รวมทั้งคณะ")</f>
        <v>168.94</v>
      </c>
      <c r="E251" s="47">
        <f>SUMIFS(E4:E247, $B$4:$B$247, "ปริญญาเอก", $A$4:$A$247, "&lt;&gt;รวมทั้งคณะ")</f>
        <v>261.97499999999997</v>
      </c>
      <c r="F251" s="48"/>
      <c r="G251" s="49">
        <f>SUMIFS(G4:G247, $B$4:$B$247, "ปริญญาเอก", $A$4:$A$247, "&lt;&gt;รวมทั้งคณะ")</f>
        <v>1775</v>
      </c>
      <c r="H251" s="50">
        <f>SUMIFS(H4:H247, $B$4:$B$247, "ปริญญาเอก", $A$4:$A$247, "&lt;&gt;รวมทั้งคณะ")</f>
        <v>147.91999999999996</v>
      </c>
      <c r="I251" s="47">
        <f>SUMIFS(I4:I247, $B$4:$B$247, "ปริญญาเอก", $A$4:$A$247, "&lt;&gt;รวมทั้งคณะ")</f>
        <v>235.60499999999999</v>
      </c>
      <c r="J251" s="48"/>
      <c r="K251" s="49">
        <f>SUMIFS(K4:K247, $B$4:$B$247, "ปริญญาเอก", $A$4:$A$247, "&lt;&gt;รวมทั้งคณะ")</f>
        <v>0</v>
      </c>
      <c r="L251" s="50">
        <f>SUMIFS(L4:L247, $B$4:$B$247, "ปริญญาเอก", $A$4:$A$247, "&lt;&gt;รวมทั้งคณะ")</f>
        <v>0</v>
      </c>
      <c r="M251" s="47">
        <f>SUMIFS(M4:M247, $B$4:$B$247, "ปริญญาเอก", $A$4:$A$247, "&lt;&gt;รวมทั้งคณะ")</f>
        <v>0</v>
      </c>
      <c r="N251" s="48"/>
      <c r="O251" s="49">
        <f>SUMIFS(O4:O247, $B$4:$B$247, "ปริญญาเอก", $A$4:$A$247, "&lt;&gt;รวมทั้งคณะ")</f>
        <v>3802</v>
      </c>
      <c r="P251" s="50">
        <f>SUMIFS(P4:P247, $B$4:$B$247, "ปริญญาเอก", $A$4:$A$247, "&lt;&gt;รวมทั้งคณะ")</f>
        <v>158.45999999999998</v>
      </c>
      <c r="Q251" s="47">
        <f>SUMIFS(Q4:Q247, $B$4:$B$247, "ปริญญาเอก", $A$4:$A$247, "&lt;&gt;รวมทั้งคณะ")</f>
        <v>248.84399999999994</v>
      </c>
      <c r="R251" s="48"/>
    </row>
    <row r="252" spans="1:26" s="51" customFormat="1" ht="18.75" customHeight="1" x14ac:dyDescent="0.3">
      <c r="C252" s="141"/>
      <c r="D252" s="141"/>
      <c r="E252" s="141"/>
      <c r="F252" s="141"/>
      <c r="G252" s="141"/>
      <c r="H252" s="141"/>
      <c r="I252" s="141"/>
      <c r="J252" s="141"/>
      <c r="K252" s="141"/>
      <c r="L252" s="141"/>
      <c r="M252" s="141"/>
      <c r="N252" s="141"/>
      <c r="O252" s="141"/>
      <c r="P252" s="141"/>
      <c r="Q252" s="141"/>
      <c r="R252" s="141"/>
    </row>
    <row r="253" spans="1:26" ht="18.75" customHeight="1" x14ac:dyDescent="0.35">
      <c r="A253" s="162" t="s">
        <v>83</v>
      </c>
      <c r="B253" s="157"/>
      <c r="C253" s="142"/>
      <c r="D253" s="52"/>
      <c r="E253" s="52"/>
      <c r="F253" s="52"/>
      <c r="G253" s="52"/>
      <c r="H253" s="52"/>
      <c r="I253" s="52"/>
      <c r="J253" s="52"/>
      <c r="K253" s="142"/>
      <c r="L253" s="52"/>
      <c r="M253" s="52"/>
      <c r="N253" s="52"/>
      <c r="O253" s="53"/>
      <c r="P253" s="52"/>
      <c r="Q253" s="52"/>
      <c r="R253" s="53"/>
    </row>
    <row r="254" spans="1:26" ht="18.75" customHeight="1" x14ac:dyDescent="0.35">
      <c r="A254" s="144" t="s">
        <v>84</v>
      </c>
      <c r="B254" s="158"/>
      <c r="C254" s="82"/>
      <c r="D254" s="20"/>
      <c r="E254" s="20"/>
      <c r="F254" s="21"/>
      <c r="G254" s="81"/>
      <c r="H254" s="20"/>
      <c r="I254" s="20"/>
      <c r="J254" s="21"/>
      <c r="K254" s="82"/>
      <c r="L254" s="20"/>
      <c r="M254" s="20"/>
      <c r="N254" s="21"/>
      <c r="O254" s="34"/>
      <c r="P254" s="22"/>
      <c r="Q254" s="22"/>
      <c r="R254" s="23"/>
    </row>
    <row r="255" spans="1:26" ht="18.75" customHeight="1" x14ac:dyDescent="0.35">
      <c r="A255" s="145" t="s">
        <v>7</v>
      </c>
      <c r="B255" s="145" t="s">
        <v>8</v>
      </c>
      <c r="C255" s="227">
        <v>2646</v>
      </c>
      <c r="D255" s="20">
        <f>ROUND(C255/18,2)</f>
        <v>147</v>
      </c>
      <c r="E255" s="20"/>
      <c r="F255" s="21">
        <f>SUM(D255,E256:E257)</f>
        <v>150.5</v>
      </c>
      <c r="G255" s="81">
        <v>2184</v>
      </c>
      <c r="H255" s="20">
        <f>ROUND(G255/18,2)</f>
        <v>121.33</v>
      </c>
      <c r="I255" s="20"/>
      <c r="J255" s="21">
        <f>SUM(H255,I256:I257)</f>
        <v>122.33</v>
      </c>
      <c r="K255" s="82">
        <v>10</v>
      </c>
      <c r="L255" s="20">
        <f>ROUND(K255/18,2)</f>
        <v>0.56000000000000005</v>
      </c>
      <c r="M255" s="20"/>
      <c r="N255" s="21">
        <f>SUM(L255,M256:M257)</f>
        <v>1.56</v>
      </c>
      <c r="O255" s="22">
        <f>SUM(K255,C255,G255)</f>
        <v>4840</v>
      </c>
      <c r="P255" s="22">
        <f>ROUND(O255/36,2)</f>
        <v>134.44</v>
      </c>
      <c r="Q255" s="22"/>
      <c r="R255" s="23">
        <f>SUM(P255,Q256:Q257)</f>
        <v>137.19999999999999</v>
      </c>
    </row>
    <row r="256" spans="1:26" ht="18.75" customHeight="1" x14ac:dyDescent="0.35">
      <c r="A256" s="163"/>
      <c r="B256" s="145" t="s">
        <v>9</v>
      </c>
      <c r="C256" s="227">
        <v>21</v>
      </c>
      <c r="D256" s="20">
        <f>ROUND(C256/12,2)</f>
        <v>1.75</v>
      </c>
      <c r="E256" s="20">
        <f>D256*2</f>
        <v>3.5</v>
      </c>
      <c r="F256" s="21"/>
      <c r="G256" s="81">
        <v>6</v>
      </c>
      <c r="H256" s="20">
        <f>ROUND(G256/12,2)</f>
        <v>0.5</v>
      </c>
      <c r="I256" s="20">
        <f>H256*2</f>
        <v>1</v>
      </c>
      <c r="J256" s="21"/>
      <c r="K256" s="82">
        <v>6</v>
      </c>
      <c r="L256" s="20">
        <f>ROUND(K256/12,2)</f>
        <v>0.5</v>
      </c>
      <c r="M256" s="20">
        <f>L256*2</f>
        <v>1</v>
      </c>
      <c r="N256" s="21"/>
      <c r="O256" s="22">
        <f>SUM(K256,C256,G256)</f>
        <v>33</v>
      </c>
      <c r="P256" s="22">
        <f t="shared" ref="P256:P257" si="148">ROUND(O256/24,2)</f>
        <v>1.38</v>
      </c>
      <c r="Q256" s="22">
        <f t="shared" ref="Q256:Q257" si="149">P256*2</f>
        <v>2.76</v>
      </c>
      <c r="R256" s="23"/>
    </row>
    <row r="257" spans="1:26" ht="18.75" customHeight="1" thickBot="1" x14ac:dyDescent="0.4">
      <c r="A257" s="164"/>
      <c r="B257" s="146" t="s">
        <v>10</v>
      </c>
      <c r="C257" s="228"/>
      <c r="D257" s="24">
        <f>ROUND(C257/12,2)</f>
        <v>0</v>
      </c>
      <c r="E257" s="24">
        <f>D257*2</f>
        <v>0</v>
      </c>
      <c r="F257" s="25"/>
      <c r="G257" s="83"/>
      <c r="H257" s="24">
        <f>ROUND(G257/12,2)</f>
        <v>0</v>
      </c>
      <c r="I257" s="24">
        <f>H257*2</f>
        <v>0</v>
      </c>
      <c r="J257" s="25"/>
      <c r="K257" s="84"/>
      <c r="L257" s="24">
        <f>ROUND(K257/12,2)</f>
        <v>0</v>
      </c>
      <c r="M257" s="24">
        <f>L257*2</f>
        <v>0</v>
      </c>
      <c r="N257" s="25"/>
      <c r="O257" s="92">
        <f>SUM(K257,C257,G257)</f>
        <v>0</v>
      </c>
      <c r="P257" s="26">
        <f t="shared" si="148"/>
        <v>0</v>
      </c>
      <c r="Q257" s="26">
        <f t="shared" si="149"/>
        <v>0</v>
      </c>
      <c r="R257" s="27"/>
    </row>
    <row r="258" spans="1:26" ht="18.75" customHeight="1" x14ac:dyDescent="0.35">
      <c r="A258" s="148" t="s">
        <v>85</v>
      </c>
      <c r="B258" s="149"/>
      <c r="C258" s="229"/>
      <c r="D258" s="28"/>
      <c r="E258" s="28"/>
      <c r="F258" s="29"/>
      <c r="G258" s="79"/>
      <c r="H258" s="28"/>
      <c r="I258" s="28"/>
      <c r="J258" s="29"/>
      <c r="K258" s="80"/>
      <c r="L258" s="28"/>
      <c r="M258" s="28"/>
      <c r="N258" s="29"/>
      <c r="O258" s="66"/>
      <c r="P258" s="30"/>
      <c r="Q258" s="30"/>
      <c r="R258" s="31"/>
    </row>
    <row r="259" spans="1:26" ht="18.75" customHeight="1" x14ac:dyDescent="0.35">
      <c r="A259" s="145" t="s">
        <v>7</v>
      </c>
      <c r="B259" s="145" t="s">
        <v>8</v>
      </c>
      <c r="C259" s="227">
        <v>13759</v>
      </c>
      <c r="D259" s="20">
        <f>ROUND(C259/18,2)</f>
        <v>764.39</v>
      </c>
      <c r="E259" s="20"/>
      <c r="F259" s="21">
        <f>SUM(D259,E260:E261)</f>
        <v>764.39</v>
      </c>
      <c r="G259" s="81">
        <v>11809</v>
      </c>
      <c r="H259" s="20">
        <f>ROUND(G259/18,2)</f>
        <v>656.06</v>
      </c>
      <c r="I259" s="20"/>
      <c r="J259" s="21">
        <f>SUM(H259,I260:I261)</f>
        <v>656.06</v>
      </c>
      <c r="K259" s="82">
        <v>57</v>
      </c>
      <c r="L259" s="20">
        <f>ROUND(K259/18,2)</f>
        <v>3.17</v>
      </c>
      <c r="M259" s="20"/>
      <c r="N259" s="21">
        <f>SUM(L259,M260:M261)</f>
        <v>3.17</v>
      </c>
      <c r="O259" s="22">
        <f>SUM(K259,C259,G259)</f>
        <v>25625</v>
      </c>
      <c r="P259" s="22">
        <f>ROUND(O259/36,2)</f>
        <v>711.81</v>
      </c>
      <c r="Q259" s="22"/>
      <c r="R259" s="23">
        <f>SUM(P259,Q260:Q261)</f>
        <v>711.81</v>
      </c>
    </row>
    <row r="260" spans="1:26" ht="18.75" customHeight="1" x14ac:dyDescent="0.35">
      <c r="A260" s="163"/>
      <c r="B260" s="145" t="s">
        <v>9</v>
      </c>
      <c r="C260" s="227"/>
      <c r="D260" s="20">
        <f>ROUND(C260/12,2)</f>
        <v>0</v>
      </c>
      <c r="E260" s="20">
        <f>D260*2</f>
        <v>0</v>
      </c>
      <c r="F260" s="21"/>
      <c r="G260" s="81"/>
      <c r="H260" s="20">
        <f>ROUND(G260/12,2)</f>
        <v>0</v>
      </c>
      <c r="I260" s="20">
        <f>H260*2</f>
        <v>0</v>
      </c>
      <c r="J260" s="21"/>
      <c r="K260" s="82"/>
      <c r="L260" s="20">
        <f>ROUND(K260/12,2)</f>
        <v>0</v>
      </c>
      <c r="M260" s="20">
        <f>L260*2</f>
        <v>0</v>
      </c>
      <c r="N260" s="21"/>
      <c r="O260" s="22">
        <f>SUM(K260,C260,G260)</f>
        <v>0</v>
      </c>
      <c r="P260" s="22">
        <f t="shared" ref="P260:P261" si="150">ROUND(O260/24,2)</f>
        <v>0</v>
      </c>
      <c r="Q260" s="22">
        <f t="shared" ref="Q260:Q261" si="151">P260*2</f>
        <v>0</v>
      </c>
      <c r="R260" s="23"/>
    </row>
    <row r="261" spans="1:26" ht="18.75" customHeight="1" thickBot="1" x14ac:dyDescent="0.4">
      <c r="A261" s="164"/>
      <c r="B261" s="146" t="s">
        <v>10</v>
      </c>
      <c r="C261" s="228"/>
      <c r="D261" s="24">
        <f>ROUND(C261/12,2)</f>
        <v>0</v>
      </c>
      <c r="E261" s="24">
        <f>D261*2</f>
        <v>0</v>
      </c>
      <c r="F261" s="25"/>
      <c r="G261" s="83"/>
      <c r="H261" s="24">
        <f>ROUND(G261/12,2)</f>
        <v>0</v>
      </c>
      <c r="I261" s="24">
        <f>H261*2</f>
        <v>0</v>
      </c>
      <c r="J261" s="25"/>
      <c r="K261" s="84"/>
      <c r="L261" s="24">
        <f>ROUND(K261/12,2)</f>
        <v>0</v>
      </c>
      <c r="M261" s="24">
        <f>L261*2</f>
        <v>0</v>
      </c>
      <c r="N261" s="25"/>
      <c r="O261" s="92">
        <f>SUM(K261,C261,G261)</f>
        <v>0</v>
      </c>
      <c r="P261" s="26">
        <f t="shared" si="150"/>
        <v>0</v>
      </c>
      <c r="Q261" s="26">
        <f t="shared" si="151"/>
        <v>0</v>
      </c>
      <c r="R261" s="27"/>
    </row>
    <row r="262" spans="1:26" ht="18.75" customHeight="1" x14ac:dyDescent="0.35">
      <c r="A262" s="148" t="s">
        <v>86</v>
      </c>
      <c r="B262" s="149"/>
      <c r="C262" s="229"/>
      <c r="D262" s="28"/>
      <c r="E262" s="28"/>
      <c r="F262" s="29"/>
      <c r="G262" s="79"/>
      <c r="H262" s="28"/>
      <c r="I262" s="28"/>
      <c r="J262" s="29"/>
      <c r="K262" s="80"/>
      <c r="L262" s="28"/>
      <c r="M262" s="28"/>
      <c r="N262" s="29"/>
      <c r="O262" s="66"/>
      <c r="P262" s="30"/>
      <c r="Q262" s="30"/>
      <c r="R262" s="31"/>
      <c r="S262" s="65"/>
      <c r="T262" s="65"/>
      <c r="U262" s="65"/>
      <c r="V262" s="65"/>
      <c r="W262" s="65"/>
      <c r="X262" s="65"/>
      <c r="Y262" s="65"/>
      <c r="Z262" s="65"/>
    </row>
    <row r="263" spans="1:26" ht="18.75" customHeight="1" x14ac:dyDescent="0.35">
      <c r="A263" s="145" t="s">
        <v>7</v>
      </c>
      <c r="B263" s="145" t="s">
        <v>8</v>
      </c>
      <c r="C263" s="227">
        <v>1920</v>
      </c>
      <c r="D263" s="20">
        <f>ROUND(C263/18,2)</f>
        <v>106.67</v>
      </c>
      <c r="E263" s="20"/>
      <c r="F263" s="21">
        <f>SUM(D263,E264:E265)</f>
        <v>106.67</v>
      </c>
      <c r="G263" s="81">
        <v>1977</v>
      </c>
      <c r="H263" s="20">
        <f>ROUND(G263/18,2)</f>
        <v>109.83</v>
      </c>
      <c r="I263" s="20"/>
      <c r="J263" s="21">
        <f>SUM(H263,I264:I265)</f>
        <v>109.83</v>
      </c>
      <c r="K263" s="82">
        <v>23</v>
      </c>
      <c r="L263" s="20">
        <f>ROUND(K263/18,2)</f>
        <v>1.28</v>
      </c>
      <c r="M263" s="20"/>
      <c r="N263" s="21">
        <f>SUM(L263,M264:M265)</f>
        <v>1.28</v>
      </c>
      <c r="O263" s="22">
        <f>SUM(K263,C263,G263)</f>
        <v>3920</v>
      </c>
      <c r="P263" s="22">
        <f>ROUND(O263/36,2)</f>
        <v>108.89</v>
      </c>
      <c r="Q263" s="22"/>
      <c r="R263" s="23">
        <f>SUM(P263,Q264:Q265)</f>
        <v>108.89</v>
      </c>
      <c r="S263" s="65"/>
      <c r="T263" s="65"/>
      <c r="U263" s="65"/>
      <c r="V263" s="65"/>
      <c r="W263" s="65"/>
      <c r="X263" s="65"/>
      <c r="Y263" s="65"/>
      <c r="Z263" s="65"/>
    </row>
    <row r="264" spans="1:26" ht="18.75" customHeight="1" x14ac:dyDescent="0.35">
      <c r="A264" s="163"/>
      <c r="B264" s="145" t="s">
        <v>9</v>
      </c>
      <c r="C264" s="227"/>
      <c r="D264" s="20">
        <f>ROUND(C264/12,2)</f>
        <v>0</v>
      </c>
      <c r="E264" s="20">
        <f>D264*2</f>
        <v>0</v>
      </c>
      <c r="F264" s="21"/>
      <c r="G264" s="81"/>
      <c r="H264" s="20">
        <f>ROUND(G264/12,2)</f>
        <v>0</v>
      </c>
      <c r="I264" s="20">
        <f>H264*2</f>
        <v>0</v>
      </c>
      <c r="J264" s="21"/>
      <c r="K264" s="82"/>
      <c r="L264" s="20">
        <f>ROUND(K264/12,2)</f>
        <v>0</v>
      </c>
      <c r="M264" s="20">
        <f>L264*2</f>
        <v>0</v>
      </c>
      <c r="N264" s="21"/>
      <c r="O264" s="22">
        <f>SUM(K264,C264,G264)</f>
        <v>0</v>
      </c>
      <c r="P264" s="22">
        <f t="shared" ref="P264:P265" si="152">ROUND(O264/24,2)</f>
        <v>0</v>
      </c>
      <c r="Q264" s="22">
        <f t="shared" ref="Q264:Q265" si="153">P264*2</f>
        <v>0</v>
      </c>
      <c r="R264" s="23"/>
      <c r="S264" s="65"/>
      <c r="T264" s="65"/>
      <c r="U264" s="65"/>
      <c r="V264" s="65"/>
      <c r="W264" s="65"/>
      <c r="X264" s="65"/>
      <c r="Y264" s="65"/>
      <c r="Z264" s="65"/>
    </row>
    <row r="265" spans="1:26" ht="18.75" customHeight="1" thickBot="1" x14ac:dyDescent="0.4">
      <c r="A265" s="164"/>
      <c r="B265" s="146" t="s">
        <v>10</v>
      </c>
      <c r="C265" s="228"/>
      <c r="D265" s="24">
        <f>ROUND(C265/12,2)</f>
        <v>0</v>
      </c>
      <c r="E265" s="24">
        <f>D265*2</f>
        <v>0</v>
      </c>
      <c r="F265" s="25"/>
      <c r="G265" s="83"/>
      <c r="H265" s="24">
        <f>ROUND(G265/12,2)</f>
        <v>0</v>
      </c>
      <c r="I265" s="24">
        <f>H265*2</f>
        <v>0</v>
      </c>
      <c r="J265" s="25"/>
      <c r="K265" s="84"/>
      <c r="L265" s="24">
        <f>ROUND(K265/12,2)</f>
        <v>0</v>
      </c>
      <c r="M265" s="24">
        <f>L265*2</f>
        <v>0</v>
      </c>
      <c r="N265" s="25"/>
      <c r="O265" s="92">
        <f>SUM(K265,C265,G265)</f>
        <v>0</v>
      </c>
      <c r="P265" s="26">
        <f t="shared" si="152"/>
        <v>0</v>
      </c>
      <c r="Q265" s="26">
        <f t="shared" si="153"/>
        <v>0</v>
      </c>
      <c r="R265" s="27"/>
    </row>
    <row r="266" spans="1:26" ht="18.75" customHeight="1" x14ac:dyDescent="0.35">
      <c r="A266" s="165" t="s">
        <v>87</v>
      </c>
      <c r="B266" s="155" t="s">
        <v>8</v>
      </c>
      <c r="C266" s="128">
        <f>SUMIF($B$254:$B$265,"ปริญญาตรี",C254:C265)</f>
        <v>18325</v>
      </c>
      <c r="D266" s="231">
        <f t="shared" ref="D266" si="154">SUM(D255,D259,D263)</f>
        <v>1018.06</v>
      </c>
      <c r="E266" s="231"/>
      <c r="F266" s="226">
        <f>ROUND(SUM(D266,E267:E268),2)</f>
        <v>1021.56</v>
      </c>
      <c r="G266" s="248">
        <f>SUMIF($B$254:$B$265,"ปริญญาตรี",G254:G265)</f>
        <v>15970</v>
      </c>
      <c r="H266" s="231">
        <f t="shared" ref="H266" si="155">SUM(H255,H259,H263)</f>
        <v>887.22</v>
      </c>
      <c r="I266" s="231"/>
      <c r="J266" s="226">
        <f>ROUND(SUM(H266,I267:I268),2)</f>
        <v>888.22</v>
      </c>
      <c r="K266" s="248">
        <f>SUMIF($B$254:$B$265,"ปริญญาตรี",K254:K265)</f>
        <v>90</v>
      </c>
      <c r="L266" s="231">
        <f t="shared" ref="L266" si="156">SUM(L255,L259,L263)</f>
        <v>5.01</v>
      </c>
      <c r="M266" s="231"/>
      <c r="N266" s="226">
        <f>ROUND(SUM(L266,M267:M268),2)</f>
        <v>6.01</v>
      </c>
      <c r="O266" s="248">
        <f>SUMIF($B$254:$B$265,"ปริญญาตรี",O254:O265)</f>
        <v>34385</v>
      </c>
      <c r="P266" s="231">
        <f t="shared" ref="P266" si="157">SUM(P255,P259,P263)</f>
        <v>955.14</v>
      </c>
      <c r="Q266" s="231"/>
      <c r="R266" s="226">
        <f>ROUND(SUM(P266,Q267:Q268),2)</f>
        <v>957.9</v>
      </c>
    </row>
    <row r="267" spans="1:26" ht="18.75" customHeight="1" x14ac:dyDescent="0.35">
      <c r="A267" s="166" t="s">
        <v>87</v>
      </c>
      <c r="B267" s="155" t="s">
        <v>9</v>
      </c>
      <c r="C267" s="130">
        <f>SUMIF($B$254:$B$265,"ปริญญาโท",C254:C265)</f>
        <v>21</v>
      </c>
      <c r="D267" s="231">
        <f>SUMIF($B$254:$B$265,"ปริญญาโท",D254:D265)</f>
        <v>1.75</v>
      </c>
      <c r="E267" s="231">
        <f>SUMIF($B$254:$B$265,"ปริญญาโท",E254:E265)</f>
        <v>3.5</v>
      </c>
      <c r="F267" s="233"/>
      <c r="G267" s="230">
        <f>SUMIF($B$254:$B$265,"ปริญญาโท",G254:G265)</f>
        <v>6</v>
      </c>
      <c r="H267" s="231">
        <f>SUMIF($B$254:$B$265,"ปริญญาโท",H254:H265)</f>
        <v>0.5</v>
      </c>
      <c r="I267" s="231">
        <f>SUMIF($B$254:$B$265,"ปริญญาโท",I254:I265)</f>
        <v>1</v>
      </c>
      <c r="J267" s="233"/>
      <c r="K267" s="230">
        <f>SUMIF($B$254:$B$265,"ปริญญาโท",K254:K265)</f>
        <v>6</v>
      </c>
      <c r="L267" s="231">
        <f>SUMIF($B$254:$B$265,"ปริญญาโท",L254:L265)</f>
        <v>0.5</v>
      </c>
      <c r="M267" s="231">
        <f>SUMIF($B$254:$B$265,"ปริญญาโท",M254:M265)</f>
        <v>1</v>
      </c>
      <c r="N267" s="233"/>
      <c r="O267" s="230">
        <f>SUMIF($B$254:$B$265,"ปริญญาโท",O254:O265)</f>
        <v>33</v>
      </c>
      <c r="P267" s="231">
        <f>SUMIF($B$254:$B$265,"ปริญญาโท",P254:P265)</f>
        <v>1.38</v>
      </c>
      <c r="Q267" s="231">
        <f>SUMIF($B$254:$B$265,"ปริญญาโท",Q254:Q265)</f>
        <v>2.76</v>
      </c>
      <c r="R267" s="233"/>
    </row>
    <row r="268" spans="1:26" ht="18.75" customHeight="1" thickBot="1" x14ac:dyDescent="0.4">
      <c r="A268" s="167" t="s">
        <v>87</v>
      </c>
      <c r="B268" s="156" t="s">
        <v>10</v>
      </c>
      <c r="C268" s="131">
        <f>SUMIF($B$254:$B$265,"ปริญญาเอก",C254:C265)</f>
        <v>0</v>
      </c>
      <c r="D268" s="249">
        <f>SUMIF($B$254:$B$265,"ปริญญาเอก",D254:D265)</f>
        <v>0</v>
      </c>
      <c r="E268" s="249">
        <f>SUMIF($B$254:$B$265,"ปริญญาเอก",E254:E265)</f>
        <v>0</v>
      </c>
      <c r="F268" s="237"/>
      <c r="G268" s="250">
        <f>SUMIF($B$254:$B$265,"ปริญญาเอก",G254:G265)</f>
        <v>0</v>
      </c>
      <c r="H268" s="249">
        <f>SUMIF($B$254:$B$265,"ปริญญาเอก",H254:H265)</f>
        <v>0</v>
      </c>
      <c r="I268" s="249">
        <f>SUMIF($B$254:$B$265,"ปริญญาเอก",I254:I265)</f>
        <v>0</v>
      </c>
      <c r="J268" s="237"/>
      <c r="K268" s="250">
        <f>SUMIF($B$254:$B$265,"ปริญญาเอก",K254:K265)</f>
        <v>0</v>
      </c>
      <c r="L268" s="249">
        <f>SUMIF($B$254:$B$265,"ปริญญาเอก",L254:L265)</f>
        <v>0</v>
      </c>
      <c r="M268" s="249">
        <f>SUMIF($B$254:$B$265,"ปริญญาเอก",M254:M265)</f>
        <v>0</v>
      </c>
      <c r="N268" s="237"/>
      <c r="O268" s="250">
        <f>SUMIF($B$254:$B$265,"ปริญญาเอก",O254:O265)</f>
        <v>0</v>
      </c>
      <c r="P268" s="249">
        <f>SUMIF($B$254:$B$265,"ปริญญาเอก",P254:P265)</f>
        <v>0</v>
      </c>
      <c r="Q268" s="249">
        <f>SUMIF($B$254:$B$265,"ปริญญาเอก",Q254:Q265)</f>
        <v>0</v>
      </c>
      <c r="R268" s="237"/>
    </row>
    <row r="269" spans="1:26" ht="18.75" customHeight="1" x14ac:dyDescent="0.35">
      <c r="A269" s="72"/>
      <c r="B269" s="55"/>
      <c r="C269" s="143"/>
      <c r="D269" s="55"/>
      <c r="E269" s="55"/>
      <c r="F269" s="55"/>
      <c r="G269" s="143"/>
      <c r="H269" s="55"/>
      <c r="I269" s="55"/>
      <c r="J269" s="55"/>
      <c r="K269" s="143"/>
      <c r="L269" s="55"/>
      <c r="M269" s="55"/>
      <c r="N269" s="55"/>
      <c r="O269" s="143"/>
      <c r="P269" s="55"/>
      <c r="Q269" s="55"/>
      <c r="R269" s="55"/>
    </row>
    <row r="270" spans="1:26" ht="18.75" customHeight="1" x14ac:dyDescent="0.35">
      <c r="A270" s="162" t="s">
        <v>88</v>
      </c>
      <c r="B270" s="157"/>
      <c r="C270" s="142"/>
      <c r="D270" s="52"/>
      <c r="E270" s="52"/>
      <c r="F270" s="52"/>
      <c r="G270" s="52"/>
      <c r="H270" s="52"/>
      <c r="I270" s="52"/>
      <c r="J270" s="52"/>
      <c r="K270" s="142"/>
      <c r="L270" s="52"/>
      <c r="M270" s="52"/>
      <c r="N270" s="52"/>
      <c r="O270" s="53"/>
      <c r="P270" s="52"/>
      <c r="Q270" s="52"/>
      <c r="R270" s="53"/>
    </row>
    <row r="271" spans="1:26" ht="18.75" customHeight="1" x14ac:dyDescent="0.35">
      <c r="A271" s="144" t="s">
        <v>89</v>
      </c>
      <c r="B271" s="158"/>
      <c r="C271" s="82"/>
      <c r="D271" s="20"/>
      <c r="E271" s="20"/>
      <c r="F271" s="21"/>
      <c r="G271" s="81"/>
      <c r="H271" s="20"/>
      <c r="I271" s="20"/>
      <c r="J271" s="21"/>
      <c r="K271" s="82"/>
      <c r="L271" s="20"/>
      <c r="M271" s="20"/>
      <c r="N271" s="21"/>
      <c r="O271" s="34"/>
      <c r="P271" s="22"/>
      <c r="Q271" s="22"/>
      <c r="R271" s="23"/>
    </row>
    <row r="272" spans="1:26" ht="18.75" customHeight="1" x14ac:dyDescent="0.35">
      <c r="A272" s="145" t="s">
        <v>7</v>
      </c>
      <c r="B272" s="145" t="s">
        <v>8</v>
      </c>
      <c r="C272" s="227">
        <v>8664</v>
      </c>
      <c r="D272" s="20">
        <f>ROUND(C272/18,2)</f>
        <v>481.33</v>
      </c>
      <c r="E272" s="20"/>
      <c r="F272" s="21">
        <f>SUM(D272,E273:E274)</f>
        <v>481.33</v>
      </c>
      <c r="G272" s="81">
        <v>6172</v>
      </c>
      <c r="H272" s="20">
        <f>ROUND(G272/18,2)</f>
        <v>342.89</v>
      </c>
      <c r="I272" s="20"/>
      <c r="J272" s="21">
        <f>SUM(H272,I273:I274)</f>
        <v>342.89</v>
      </c>
      <c r="K272" s="82">
        <v>377</v>
      </c>
      <c r="L272" s="20">
        <f>ROUND(K272/18,2)</f>
        <v>20.94</v>
      </c>
      <c r="M272" s="20"/>
      <c r="N272" s="21">
        <f>SUM(L272,M273:M274)</f>
        <v>20.94</v>
      </c>
      <c r="O272" s="22">
        <f>SUM(K272,C272,G272)</f>
        <v>15213</v>
      </c>
      <c r="P272" s="22">
        <f>ROUND(O272/36,2)</f>
        <v>422.58</v>
      </c>
      <c r="Q272" s="22"/>
      <c r="R272" s="23">
        <f>SUM(P272,Q273:Q274)</f>
        <v>422.58</v>
      </c>
    </row>
    <row r="273" spans="1:26" ht="18.75" customHeight="1" x14ac:dyDescent="0.35">
      <c r="A273" s="163"/>
      <c r="B273" s="145" t="s">
        <v>9</v>
      </c>
      <c r="C273" s="227"/>
      <c r="D273" s="20">
        <f>ROUND(C273/12,2)</f>
        <v>0</v>
      </c>
      <c r="E273" s="20">
        <f>D273*2</f>
        <v>0</v>
      </c>
      <c r="F273" s="21"/>
      <c r="G273" s="81"/>
      <c r="H273" s="20">
        <f>ROUND(G273/12,2)</f>
        <v>0</v>
      </c>
      <c r="I273" s="20">
        <f>H273*2</f>
        <v>0</v>
      </c>
      <c r="J273" s="21"/>
      <c r="K273" s="82"/>
      <c r="L273" s="20">
        <f>ROUND(K273/12,2)</f>
        <v>0</v>
      </c>
      <c r="M273" s="20">
        <f>L273*2</f>
        <v>0</v>
      </c>
      <c r="N273" s="21"/>
      <c r="O273" s="22">
        <f>SUM(K273,C273,G273)</f>
        <v>0</v>
      </c>
      <c r="P273" s="22">
        <f t="shared" ref="P273:P274" si="158">ROUND(O273/24,2)</f>
        <v>0</v>
      </c>
      <c r="Q273" s="22">
        <f t="shared" ref="Q273:Q274" si="159">P273*2</f>
        <v>0</v>
      </c>
      <c r="R273" s="23"/>
    </row>
    <row r="274" spans="1:26" ht="18.75" customHeight="1" thickBot="1" x14ac:dyDescent="0.4">
      <c r="A274" s="164"/>
      <c r="B274" s="146" t="s">
        <v>10</v>
      </c>
      <c r="C274" s="228"/>
      <c r="D274" s="24">
        <f>ROUND(C274/12,2)</f>
        <v>0</v>
      </c>
      <c r="E274" s="24">
        <f>D274*2</f>
        <v>0</v>
      </c>
      <c r="F274" s="25"/>
      <c r="G274" s="83"/>
      <c r="H274" s="24">
        <f>ROUND(G274/12,2)</f>
        <v>0</v>
      </c>
      <c r="I274" s="24">
        <f>H274*2</f>
        <v>0</v>
      </c>
      <c r="J274" s="25"/>
      <c r="K274" s="84"/>
      <c r="L274" s="24">
        <f>ROUND(K274/12,2)</f>
        <v>0</v>
      </c>
      <c r="M274" s="24">
        <f>L274*2</f>
        <v>0</v>
      </c>
      <c r="N274" s="25"/>
      <c r="O274" s="92">
        <f>SUM(K274,C274,G274)</f>
        <v>0</v>
      </c>
      <c r="P274" s="26">
        <f t="shared" si="158"/>
        <v>0</v>
      </c>
      <c r="Q274" s="26">
        <f t="shared" si="159"/>
        <v>0</v>
      </c>
      <c r="R274" s="27"/>
    </row>
    <row r="275" spans="1:26" ht="18.75" customHeight="1" x14ac:dyDescent="0.35">
      <c r="A275" s="148" t="s">
        <v>90</v>
      </c>
      <c r="B275" s="153"/>
      <c r="C275" s="229"/>
      <c r="D275" s="28"/>
      <c r="E275" s="28"/>
      <c r="F275" s="29"/>
      <c r="G275" s="79"/>
      <c r="H275" s="28"/>
      <c r="I275" s="28"/>
      <c r="J275" s="29"/>
      <c r="K275" s="80"/>
      <c r="L275" s="28"/>
      <c r="M275" s="28"/>
      <c r="N275" s="29"/>
      <c r="O275" s="30"/>
      <c r="P275" s="30"/>
      <c r="Q275" s="30"/>
      <c r="R275" s="31"/>
      <c r="S275" s="65"/>
      <c r="T275" s="65"/>
      <c r="U275" s="65"/>
      <c r="V275" s="65"/>
      <c r="W275" s="65"/>
      <c r="X275" s="65"/>
      <c r="Y275" s="65"/>
      <c r="Z275" s="65"/>
    </row>
    <row r="276" spans="1:26" ht="18.75" customHeight="1" x14ac:dyDescent="0.35">
      <c r="A276" s="145" t="s">
        <v>7</v>
      </c>
      <c r="B276" s="145" t="s">
        <v>8</v>
      </c>
      <c r="C276" s="227">
        <v>593</v>
      </c>
      <c r="D276" s="20">
        <f>ROUND(C276/18,2)</f>
        <v>32.94</v>
      </c>
      <c r="E276" s="20"/>
      <c r="F276" s="21">
        <f>SUM(D276,E277:E278)</f>
        <v>32.94</v>
      </c>
      <c r="G276" s="81">
        <f>120+547</f>
        <v>667</v>
      </c>
      <c r="H276" s="20">
        <f>ROUND(G276/18,2)</f>
        <v>37.06</v>
      </c>
      <c r="I276" s="20"/>
      <c r="J276" s="21">
        <f>SUM(H276,I277:I278)</f>
        <v>37.06</v>
      </c>
      <c r="K276" s="82">
        <v>36</v>
      </c>
      <c r="L276" s="20">
        <f>ROUND(K276/18,2)</f>
        <v>2</v>
      </c>
      <c r="M276" s="20"/>
      <c r="N276" s="21">
        <f>SUM(L276,M277:M278)</f>
        <v>2</v>
      </c>
      <c r="O276" s="22">
        <f>SUM(K276,C276,G276)</f>
        <v>1296</v>
      </c>
      <c r="P276" s="22">
        <f>ROUND(O276/36,2)</f>
        <v>36</v>
      </c>
      <c r="Q276" s="22"/>
      <c r="R276" s="23">
        <f>SUM(P276,Q277:Q278)</f>
        <v>36</v>
      </c>
      <c r="S276" s="65"/>
      <c r="T276" s="65"/>
      <c r="U276" s="65"/>
      <c r="V276" s="65"/>
      <c r="W276" s="65"/>
      <c r="X276" s="65"/>
      <c r="Y276" s="65"/>
      <c r="Z276" s="65"/>
    </row>
    <row r="277" spans="1:26" ht="18.75" customHeight="1" x14ac:dyDescent="0.35">
      <c r="A277" s="145"/>
      <c r="B277" s="145" t="s">
        <v>9</v>
      </c>
      <c r="C277" s="227"/>
      <c r="D277" s="20">
        <f>ROUND(C277/12,2)</f>
        <v>0</v>
      </c>
      <c r="E277" s="20">
        <f>D277*2</f>
        <v>0</v>
      </c>
      <c r="F277" s="21"/>
      <c r="G277" s="81"/>
      <c r="H277" s="20">
        <f>ROUND(G277/12,2)</f>
        <v>0</v>
      </c>
      <c r="I277" s="20">
        <f>H277*2</f>
        <v>0</v>
      </c>
      <c r="J277" s="21"/>
      <c r="K277" s="82"/>
      <c r="L277" s="20">
        <f>ROUND(K277/12,2)</f>
        <v>0</v>
      </c>
      <c r="M277" s="20">
        <f>L277*2</f>
        <v>0</v>
      </c>
      <c r="N277" s="21"/>
      <c r="O277" s="22">
        <f>SUM(K277,C277,G277)</f>
        <v>0</v>
      </c>
      <c r="P277" s="22">
        <f t="shared" ref="P277:P278" si="160">ROUND(O277/24,2)</f>
        <v>0</v>
      </c>
      <c r="Q277" s="22">
        <f t="shared" ref="Q277:Q278" si="161">P277*2</f>
        <v>0</v>
      </c>
      <c r="R277" s="23"/>
      <c r="S277" s="65"/>
      <c r="T277" s="65"/>
      <c r="U277" s="65"/>
      <c r="V277" s="65"/>
      <c r="W277" s="65"/>
      <c r="X277" s="65"/>
      <c r="Y277" s="65"/>
      <c r="Z277" s="65"/>
    </row>
    <row r="278" spans="1:26" ht="18.75" customHeight="1" thickBot="1" x14ac:dyDescent="0.4">
      <c r="A278" s="146"/>
      <c r="B278" s="146" t="s">
        <v>10</v>
      </c>
      <c r="C278" s="228"/>
      <c r="D278" s="24">
        <f>ROUND(C278/12,2)</f>
        <v>0</v>
      </c>
      <c r="E278" s="24">
        <f>D278*2</f>
        <v>0</v>
      </c>
      <c r="F278" s="25"/>
      <c r="G278" s="83"/>
      <c r="H278" s="24">
        <f>ROUND(G278/12,2)</f>
        <v>0</v>
      </c>
      <c r="I278" s="24">
        <f>H278*2</f>
        <v>0</v>
      </c>
      <c r="J278" s="25"/>
      <c r="K278" s="84"/>
      <c r="L278" s="24">
        <f>ROUND(K278/12,2)</f>
        <v>0</v>
      </c>
      <c r="M278" s="24">
        <f>L278*2</f>
        <v>0</v>
      </c>
      <c r="N278" s="25"/>
      <c r="O278" s="92">
        <f>SUM(K278,C278,G278)</f>
        <v>0</v>
      </c>
      <c r="P278" s="26">
        <f t="shared" si="160"/>
        <v>0</v>
      </c>
      <c r="Q278" s="26">
        <f t="shared" si="161"/>
        <v>0</v>
      </c>
      <c r="R278" s="27"/>
      <c r="S278" s="65"/>
      <c r="T278" s="65"/>
      <c r="U278" s="65"/>
      <c r="V278" s="65"/>
      <c r="W278" s="65"/>
      <c r="X278" s="65"/>
      <c r="Y278" s="65"/>
      <c r="Z278" s="65"/>
    </row>
    <row r="279" spans="1:26" ht="18.75" customHeight="1" x14ac:dyDescent="0.35">
      <c r="A279" s="165" t="s">
        <v>91</v>
      </c>
      <c r="B279" s="155" t="s">
        <v>8</v>
      </c>
      <c r="C279" s="230">
        <f>SUMIF($B$271:$B$278,"ปริญญาตรี",C271:C278)</f>
        <v>9257</v>
      </c>
      <c r="D279" s="231">
        <f>SUMIF($B$271:$B$278,"ปริญญาตรี",D271:D278)</f>
        <v>514.27</v>
      </c>
      <c r="E279" s="231"/>
      <c r="F279" s="226">
        <f>ROUND(SUM(D279,E280:E281),2)</f>
        <v>514.27</v>
      </c>
      <c r="G279" s="230">
        <f>SUMIF($B$271:$B$278,"ปริญญาตรี",G271:G278)</f>
        <v>6839</v>
      </c>
      <c r="H279" s="231">
        <f>SUMIF($B$271:$B$278,"ปริญญาตรี",H271:H278)</f>
        <v>379.95</v>
      </c>
      <c r="I279" s="231"/>
      <c r="J279" s="226">
        <f>ROUND(SUM(H279,I280:I281),2)</f>
        <v>379.95</v>
      </c>
      <c r="K279" s="230">
        <f>SUMIF($B$271:$B$278,"ปริญญาตรี",K271:K278)</f>
        <v>413</v>
      </c>
      <c r="L279" s="231">
        <f>SUMIF($B$271:$B$278,"ปริญญาตรี",L271:L278)</f>
        <v>22.94</v>
      </c>
      <c r="M279" s="231"/>
      <c r="N279" s="226">
        <f>ROUND(SUM(L279,M280:M281),2)</f>
        <v>22.94</v>
      </c>
      <c r="O279" s="230">
        <f>SUMIF($B$271:$B$278,"ปริญญาตรี",O271:O278)</f>
        <v>16509</v>
      </c>
      <c r="P279" s="231">
        <f>SUMIF($B$271:$B$278,"ปริญญาตรี",P271:P278)</f>
        <v>458.58</v>
      </c>
      <c r="Q279" s="231"/>
      <c r="R279" s="226">
        <f>ROUND(SUM(P279,Q280:Q281),2)</f>
        <v>458.58</v>
      </c>
      <c r="S279" s="65"/>
      <c r="T279" s="65"/>
      <c r="U279" s="65"/>
      <c r="V279" s="65"/>
      <c r="W279" s="65"/>
      <c r="X279" s="65"/>
      <c r="Y279" s="65"/>
      <c r="Z279" s="65"/>
    </row>
    <row r="280" spans="1:26" ht="18.75" customHeight="1" x14ac:dyDescent="0.35">
      <c r="A280" s="166" t="s">
        <v>91</v>
      </c>
      <c r="B280" s="155" t="s">
        <v>9</v>
      </c>
      <c r="C280" s="223">
        <f>SUMIF($B$271:$B$278,"ปริญญาโท",C271:C278)</f>
        <v>0</v>
      </c>
      <c r="D280" s="232">
        <f>SUMIF($B$271:$B$278,"ปริญญาโท",D271:D278)</f>
        <v>0</v>
      </c>
      <c r="E280" s="225">
        <f>SUMIF($B$271:$B$278,"ปริญญาโท",E271:E278)</f>
        <v>0</v>
      </c>
      <c r="F280" s="233"/>
      <c r="G280" s="223">
        <f>SUMIF($B$271:$B$278,"ปริญญาโท",G271:G278)</f>
        <v>0</v>
      </c>
      <c r="H280" s="232">
        <f>SUMIF($B$271:$B$278,"ปริญญาโท",H271:H278)</f>
        <v>0</v>
      </c>
      <c r="I280" s="225">
        <f>SUMIF($B$271:$B$278,"ปริญญาโท",I271:I278)</f>
        <v>0</v>
      </c>
      <c r="J280" s="233"/>
      <c r="K280" s="223">
        <f>SUMIF($B$271:$B$278,"ปริญญาโท",K271:K278)</f>
        <v>0</v>
      </c>
      <c r="L280" s="232">
        <f>SUMIF($B$271:$B$278,"ปริญญาโท",L271:L278)</f>
        <v>0</v>
      </c>
      <c r="M280" s="225">
        <f>SUMIF($B$271:$B$278,"ปริญญาโท",M271:M278)</f>
        <v>0</v>
      </c>
      <c r="N280" s="233"/>
      <c r="O280" s="223">
        <f>SUMIF($B$271:$B$278,"ปริญญาโท",O271:O278)</f>
        <v>0</v>
      </c>
      <c r="P280" s="232">
        <f>SUMIF($B$271:$B$278,"ปริญญาโท",P271:P278)</f>
        <v>0</v>
      </c>
      <c r="Q280" s="225">
        <f>SUMIF($B$271:$B$278,"ปริญญาโท",Q271:Q278)</f>
        <v>0</v>
      </c>
      <c r="R280" s="233"/>
      <c r="S280" s="65"/>
      <c r="T280" s="65"/>
      <c r="U280" s="65"/>
      <c r="V280" s="65"/>
      <c r="W280" s="65"/>
      <c r="X280" s="65"/>
      <c r="Y280" s="65"/>
      <c r="Z280" s="65"/>
    </row>
    <row r="281" spans="1:26" ht="18.75" customHeight="1" thickBot="1" x14ac:dyDescent="0.4">
      <c r="A281" s="167" t="s">
        <v>91</v>
      </c>
      <c r="B281" s="156" t="s">
        <v>10</v>
      </c>
      <c r="C281" s="234">
        <f>SUMIF($B$271:$B$278,"ปริญญาเอก",C271:C278)</f>
        <v>0</v>
      </c>
      <c r="D281" s="235">
        <f>SUMIF($B$271:$B$278,"ปริญญาเอก",D271:D278)</f>
        <v>0</v>
      </c>
      <c r="E281" s="236">
        <f>SUMIF($B$271:$B$278,"ปริญญาเอก",E271:E278)</f>
        <v>0</v>
      </c>
      <c r="F281" s="237"/>
      <c r="G281" s="234">
        <f>SUMIF($B$271:$B$278,"ปริญญาเอก",G271:G278)</f>
        <v>0</v>
      </c>
      <c r="H281" s="235">
        <f>SUMIF($B$271:$B$278,"ปริญญาเอก",H271:H278)</f>
        <v>0</v>
      </c>
      <c r="I281" s="236">
        <f>SUMIF($B$271:$B$278,"ปริญญาเอก",I271:I278)</f>
        <v>0</v>
      </c>
      <c r="J281" s="237"/>
      <c r="K281" s="234">
        <f>SUMIF($B$271:$B$278,"ปริญญาเอก",K271:K278)</f>
        <v>0</v>
      </c>
      <c r="L281" s="235">
        <f>SUMIF($B$271:$B$278,"ปริญญาเอก",L271:L278)</f>
        <v>0</v>
      </c>
      <c r="M281" s="236">
        <f>SUMIF($B$271:$B$278,"ปริญญาเอก",M271:M278)</f>
        <v>0</v>
      </c>
      <c r="N281" s="237"/>
      <c r="O281" s="234">
        <f>SUMIF($B$271:$B$278,"ปริญญาเอก",O271:O278)</f>
        <v>0</v>
      </c>
      <c r="P281" s="235">
        <f>SUMIF($B$271:$B$278,"ปริญญาเอก",P271:P278)</f>
        <v>0</v>
      </c>
      <c r="Q281" s="236">
        <f>SUMIF($B$271:$B$278,"ปริญญาเอก",Q271:Q278)</f>
        <v>0</v>
      </c>
      <c r="R281" s="237"/>
      <c r="S281" s="65"/>
      <c r="T281" s="65"/>
      <c r="U281" s="65"/>
      <c r="V281" s="65"/>
      <c r="W281" s="65"/>
      <c r="X281" s="65"/>
      <c r="Y281" s="65"/>
      <c r="Z281" s="65"/>
    </row>
    <row r="282" spans="1:26" ht="18.75" customHeight="1" x14ac:dyDescent="0.35">
      <c r="A282" s="168" t="s">
        <v>92</v>
      </c>
      <c r="B282" s="159" t="s">
        <v>8</v>
      </c>
      <c r="C282" s="238">
        <f>SUM(SUMIFS(C4:C281,$B$4:$B$281,"ปริญญาตรี",$A$4:$A$281,"รวมทั้งวิทยาเขตสระแก้ว"),
     SUMIFS(C4:C281,$B$4:$B$281,"ปริญญาตรี",$A$4:$A$281,"รวมทั้งวิทยาเขตจันทบุรี"),
     SUMIFS(C4:C281,$B$4:$B$281,"ปริญญาตรี",$A$4:$A$281,"รวมทั้งวิทยาเขตบางแสน"))</f>
        <v>412089</v>
      </c>
      <c r="D282" s="239">
        <f>SUM(SUMIFS(D4:D281,$B$4:$B$281,"ปริญญาตรี",$A$4:$A$281,"รวมทั้งวิทยาเขตสระแก้ว"),
     SUMIFS(D4:D281,$B$4:$B$281,"ปริญญาตรี",$A$4:$A$281,"รวมทั้งวิทยาเขตจันทบุรี"),
     SUMIFS(D4:D281,$B$4:$B$281,"ปริญญาตรี",$A$4:$A$281,"รวมทั้งวิทยาเขตบางแสน"))</f>
        <v>22893.860000000008</v>
      </c>
      <c r="E282" s="239"/>
      <c r="F282" s="240">
        <f>ROUND(SUM(D282,E283:E285),2)</f>
        <v>23526.5</v>
      </c>
      <c r="G282" s="238">
        <f>SUM(SUMIFS(G4:G281,$B$4:$B$281,"ปริญญาตรี",$A$4:$A$281,"รวมทั้งวิทยาเขตสระแก้ว"),
     SUMIFS(G4:G281,$B$4:$B$281,"ปริญญาตรี",$A$4:$A$281,"รวมทั้งวิทยาเขตจันทบุรี"),
     SUMIFS(G4:G281,$B$4:$B$281,"ปริญญาตรี",$A$4:$A$281,"รวมทั้งวิทยาเขตบางแสน"))</f>
        <v>377119</v>
      </c>
      <c r="H282" s="239">
        <f>SUM(SUMIFS(H4:H281,$B$4:$B$281,"ปริญญาตรี",$A$4:$A$281,"รวมทั้งวิทยาเขตสระแก้ว"),
     SUMIFS(H4:H281,$B$4:$B$281,"ปริญญาตรี",$A$4:$A$281,"รวมทั้งวิทยาเขตจันทบุรี"),
     SUMIFS(H4:H281,$B$4:$B$281,"ปริญญาตรี",$A$4:$A$281,"รวมทั้งวิทยาเขตบางแสน"))</f>
        <v>20951.060000000005</v>
      </c>
      <c r="I282" s="239"/>
      <c r="J282" s="240">
        <f>ROUND(SUM(H282,I283:I285),2)</f>
        <v>21562.12</v>
      </c>
      <c r="K282" s="238">
        <f>SUM(SUMIFS(K4:K281,$B$4:$B$281,"ปริญญาตรี",$A$4:$A$281,"รวมทั้งวิทยาเขตสระแก้ว"),
     SUMIFS(K4:K281,$B$4:$B$281,"ปริญญาตรี",$A$4:$A$281,"รวมทั้งวิทยาเขตจันทบุรี"),
     SUMIFS(K4:K281,$B$4:$B$281,"ปริญญาตรี",$A$4:$A$281,"รวมทั้งวิทยาเขตบางแสน"))</f>
        <v>5832</v>
      </c>
      <c r="L282" s="239">
        <f>SUM(SUMIFS(L4:L281,$B$4:$B$281,"ปริญญาตรี",$A$4:$A$281,"รวมทั้งวิทยาเขตสระแก้ว"),
     SUMIFS(L4:L281,$B$4:$B$281,"ปริญญาตรี",$A$4:$A$281,"รวมทั้งวิทยาเขตจันทบุรี"),
     SUMIFS(L4:L281,$B$4:$B$281,"ปริญญาตรี",$A$4:$A$281,"รวมทั้งวิทยาเขตบางแสน"))</f>
        <v>324.0100000000001</v>
      </c>
      <c r="M282" s="239"/>
      <c r="N282" s="240">
        <f>ROUND(SUM(L282,M283:M285),2)</f>
        <v>342.76</v>
      </c>
      <c r="O282" s="238">
        <f>SUM(SUMIFS(O4:O281,$B$4:$B$281,"ปริญญาตรี",$A$4:$A$281,"รวมทั้งวิทยาเขตสระแก้ว"),
     SUMIFS(O4:O281,$B$4:$B$281,"ปริญญาตรี",$A$4:$A$281,"รวมทั้งวิทยาเขตจันทบุรี"),
     SUMIFS(O4:O281,$B$4:$B$281,"ปริญญาตรี",$A$4:$A$281,"รวมทั้งวิทยาเขตบางแสน"))</f>
        <v>795040</v>
      </c>
      <c r="P282" s="239">
        <f>SUM(SUMIFS(P4:P281,$B$4:$B$281,"ปริญญาตรี",$A$4:$A$281,"รวมทั้งวิทยาเขตสระแก้ว"),
     SUMIFS(P4:P281,$B$4:$B$281,"ปริญญาตรี",$A$4:$A$281,"รวมทั้งวิทยาเขตจันทบุรี"),
     SUMIFS(P4:P281,$B$4:$B$281,"ปริญญาตรี",$A$4:$A$281,"รวมทั้งวิทยาเขตบางแสน"))</f>
        <v>22084.440000000002</v>
      </c>
      <c r="Q282" s="239"/>
      <c r="R282" s="240">
        <f>ROUND(SUM(P282,Q283:Q285),2)</f>
        <v>22715.74</v>
      </c>
    </row>
    <row r="283" spans="1:26" ht="18.75" customHeight="1" x14ac:dyDescent="0.35">
      <c r="A283" s="169" t="s">
        <v>92</v>
      </c>
      <c r="B283" s="160" t="s">
        <v>64</v>
      </c>
      <c r="C283" s="241">
        <f>SUM(SUMIFS(C4:C281,$B$4:$B$281,"ป.บัณฑิต",$A$4:$A$281,"รวมทั้งวิทยาเขตสระแก้ว"),
     SUMIFS(C4:C281,$B$4:$B$281,"ป.บัณฑิต",$A$4:$A$281,"รวมทั้งวิทยาเขตจันทบุรี"),
     SUMIFS(C4:C281,$B$4:$B$281,"ป.บัณฑิต",$A$4:$A$281,"รวมทั้งวิทยาเขตบางแสน"))</f>
        <v>0</v>
      </c>
      <c r="D283" s="239">
        <f>SUM(SUMIFS(D4:D281,$B$4:$B$281,"ป.บัณฑิต",$A$4:$A$281,"รวมทั้งวิทยาเขตสระแก้ว"),
     SUMIFS(D4:D281,$B$4:$B$281,"ป.บัณฑิต",$A$4:$A$281,"รวมทั้งวิทยาเขตจันทบุรี"),
     SUMIFS(D4:D281,$B$4:$B$281,"ป.บัณฑิต",$A$4:$A$281,"รวมทั้งวิทยาเขตบางแสน"))</f>
        <v>0</v>
      </c>
      <c r="E283" s="239">
        <f>SUM(SUMIFS(E4:E281,$B$4:$B$281,"ป.บัณฑิต",$A$4:$A$281,"รวมทั้งวิทยาเขตสระแก้ว"),
     SUMIFS(E4:E281,$B$4:$B$281,"ป.บัณฑิต",$A$4:$A$281,"รวมทั้งวิทยาเขตจันทบุรี"),
     SUMIFS(E4:E281,$B$4:$B$281,"ป.บัณฑิต",$A$4:$A$281,"รวมทั้งวิทยาเขตบางแสน"))</f>
        <v>0</v>
      </c>
      <c r="F283" s="242"/>
      <c r="G283" s="241">
        <f>SUM(SUMIFS(G4:G281,$B$4:$B$281,"ป.บัณฑิต",$A$4:$A$281,"รวมทั้งวิทยาเขตสระแก้ว"),
     SUMIFS(G4:G281,$B$4:$B$281,"ป.บัณฑิต",$A$4:$A$281,"รวมทั้งวิทยาเขตจันทบุรี"),
     SUMIFS(G4:G281,$B$4:$B$281,"ป.บัณฑิต",$A$4:$A$281,"รวมทั้งวิทยาเขตบางแสน"))</f>
        <v>0</v>
      </c>
      <c r="H283" s="239">
        <f>SUM(SUMIFS(H4:H281,$B$4:$B$281,"ป.บัณฑิต",$A$4:$A$281,"รวมทั้งวิทยาเขตสระแก้ว"),
     SUMIFS(H4:H281,$B$4:$B$281,"ป.บัณฑิต",$A$4:$A$281,"รวมทั้งวิทยาเขตจันทบุรี"),
     SUMIFS(H4:H281,$B$4:$B$281,"ป.บัณฑิต",$A$4:$A$281,"รวมทั้งวิทยาเขตบางแสน"))</f>
        <v>0</v>
      </c>
      <c r="I283" s="239">
        <f>SUM(SUMIFS(I4:I281,$B$4:$B$281,"ป.บัณฑิต",$A$4:$A$281,"รวมทั้งวิทยาเขตสระแก้ว"),
     SUMIFS(I4:I281,$B$4:$B$281,"ป.บัณฑิต",$A$4:$A$281,"รวมทั้งวิทยาเขตจันทบุรี"),
     SUMIFS(I4:I281,$B$4:$B$281,"ป.บัณฑิต",$A$4:$A$281,"รวมทั้งวิทยาเขตบางแสน"))</f>
        <v>0</v>
      </c>
      <c r="J283" s="242"/>
      <c r="K283" s="241">
        <f>SUM(SUMIFS(K4:K281,$B$4:$B$281,"ป.บัณฑิต",$A$4:$A$281,"รวมทั้งวิทยาเขตสระแก้ว"),
     SUMIFS(K4:K281,$B$4:$B$281,"ป.บัณฑิต",$A$4:$A$281,"รวมทั้งวิทยาเขตจันทบุรี"),
     SUMIFS(K4:K281,$B$4:$B$281,"ป.บัณฑิต",$A$4:$A$281,"รวมทั้งวิทยาเขตบางแสน"))</f>
        <v>0</v>
      </c>
      <c r="L283" s="239">
        <f>SUM(SUMIFS(L4:L281,$B$4:$B$281,"ป.บัณฑิต",$A$4:$A$281,"รวมทั้งวิทยาเขตสระแก้ว"),
     SUMIFS(L4:L281,$B$4:$B$281,"ป.บัณฑิต",$A$4:$A$281,"รวมทั้งวิทยาเขตจันทบุรี"),
     SUMIFS(L4:L281,$B$4:$B$281,"ป.บัณฑิต",$A$4:$A$281,"รวมทั้งวิทยาเขตบางแสน"))</f>
        <v>0</v>
      </c>
      <c r="M283" s="239">
        <f>SUM(SUMIFS(M4:M281,$B$4:$B$281,"ป.บัณฑิต",$A$4:$A$281,"รวมทั้งวิทยาเขตสระแก้ว"),
     SUMIFS(M4:M281,$B$4:$B$281,"ป.บัณฑิต",$A$4:$A$281,"รวมทั้งวิทยาเขตจันทบุรี"),
     SUMIFS(M4:M281,$B$4:$B$281,"ป.บัณฑิต",$A$4:$A$281,"รวมทั้งวิทยาเขตบางแสน"))</f>
        <v>0</v>
      </c>
      <c r="N283" s="242"/>
      <c r="O283" s="241">
        <f>SUM(SUMIFS(O4:O281,$B$4:$B$281,"ป.บัณฑิต",$A$4:$A$281,"รวมทั้งวิทยาเขตสระแก้ว"),
     SUMIFS(O4:O281,$B$4:$B$281,"ป.บัณฑิต",$A$4:$A$281,"รวมทั้งวิทยาเขตจันทบุรี"),
     SUMIFS(O4:O281,$B$4:$B$281,"ป.บัณฑิต",$A$4:$A$281,"รวมทั้งวิทยาเขตบางแสน"))</f>
        <v>0</v>
      </c>
      <c r="P283" s="239">
        <f>SUM(SUMIFS(P4:P281,$B$4:$B$281,"ป.บัณฑิต",$A$4:$A$281,"รวมทั้งวิทยาเขตสระแก้ว"),
     SUMIFS(P4:P281,$B$4:$B$281,"ป.บัณฑิต",$A$4:$A$281,"รวมทั้งวิทยาเขตจันทบุรี"),
     SUMIFS(P4:P281,$B$4:$B$281,"ป.บัณฑิต",$A$4:$A$281,"รวมทั้งวิทยาเขตบางแสน"))</f>
        <v>0</v>
      </c>
      <c r="Q283" s="239">
        <f>SUM(SUMIFS(Q4:Q281,$B$4:$B$281,"ป.บัณฑิต",$A$4:$A$281,"รวมทั้งวิทยาเขตสระแก้ว"),
     SUMIFS(Q4:Q281,$B$4:$B$281,"ป.บัณฑิต",$A$4:$A$281,"รวมทั้งวิทยาเขตจันทบุรี"),
     SUMIFS(Q4:Q281,$B$4:$B$281,"ป.บัณฑิต",$A$4:$A$281,"รวมทั้งวิทยาเขตบางแสน"))</f>
        <v>0</v>
      </c>
      <c r="R283" s="242"/>
    </row>
    <row r="284" spans="1:26" ht="18.75" customHeight="1" x14ac:dyDescent="0.35">
      <c r="A284" s="169" t="s">
        <v>92</v>
      </c>
      <c r="B284" s="160" t="s">
        <v>9</v>
      </c>
      <c r="C284" s="243">
        <f>SUM(SUMIFS(C4:C281,$B$4:$B$281,"ปริญญาโท",$A$4:$A$281,"รวมทั้งวิทยาเขตสระแก้ว"),
     SUMIFS(C4:C281,$B$4:$B$281,"ปริญญาโท",$A$4:$A$281,"รวมทั้งวิทยาเขตจันทบุรี"),
     SUMIFS(C4:C281,$B$4:$B$281,"ปริญญาโท",$A$4:$A$281,"รวมทั้งวิทยาเขตบางแสน"))</f>
        <v>2909</v>
      </c>
      <c r="D284" s="244">
        <f>SUM(SUMIFS(D4:D281,$B$4:$B$281,"ปริญญาโท",$A$4:$A$281,"รวมทั้งวิทยาเขตสระแก้ว"),
     SUMIFS(D4:D281,$B$4:$B$281,"ปริญญาโท",$A$4:$A$281,"รวมทั้งวิทยาเขตจันทบุรี"),
     SUMIFS(D4:D281,$B$4:$B$281,"ปริญญาโท",$A$4:$A$281,"รวมทั้งวิทยาเขตบางแสน"))</f>
        <v>242.42999999999995</v>
      </c>
      <c r="E284" s="244">
        <f>SUM(SUMIFS(E4:E281,$B$4:$B$281,"ปริญญาโท",$A$4:$A$281,"รวมทั้งวิทยาเขตสระแก้ว"),
     SUMIFS(E4:E281,$B$4:$B$281,"ปริญญาโท",$A$4:$A$281,"รวมทั้งวิทยาเขตจันทบุรี"),
     SUMIFS(E4:E281,$B$4:$B$281,"ปริญญาโท",$A$4:$A$281,"รวมทั้งวิทยาเขตบางแสน"))</f>
        <v>370.66099999999994</v>
      </c>
      <c r="F284" s="242"/>
      <c r="G284" s="243">
        <f>SUM(SUMIFS(G4:G281,$B$4:$B$281,"ปริญญาโท",$A$4:$A$281,"รวมทั้งวิทยาเขตสระแก้ว"),
     SUMIFS(G4:G281,$B$4:$B$281,"ปริญญาโท",$A$4:$A$281,"รวมทั้งวิทยาเขตจันทบุรี"),
     SUMIFS(G4:G281,$B$4:$B$281,"ปริญญาโท",$A$4:$A$281,"รวมทั้งวิทยาเขตบางแสน"))</f>
        <v>3039</v>
      </c>
      <c r="H284" s="244">
        <f>SUM(SUMIFS(H4:H281,$B$4:$B$281,"ปริญญาโท",$A$4:$A$281,"รวมทั้งวิทยาเขตสระแก้ว"),
     SUMIFS(H4:H281,$B$4:$B$281,"ปริญญาโท",$A$4:$A$281,"รวมทั้งวิทยาเขตจันทบุรี"),
     SUMIFS(H4:H281,$B$4:$B$281,"ปริญญาโท",$A$4:$A$281,"รวมทั้งวิทยาเขตบางแสน"))</f>
        <v>253.25</v>
      </c>
      <c r="I284" s="244">
        <f>SUM(SUMIFS(I4:I281,$B$4:$B$281,"ปริญญาโท",$A$4:$A$281,"รวมทั้งวิทยาเขตสระแก้ว"),
     SUMIFS(I4:I281,$B$4:$B$281,"ปริญญาโท",$A$4:$A$281,"รวมทั้งวิทยาเขตจันทบุรี"),
     SUMIFS(I4:I281,$B$4:$B$281,"ปริญญาโท",$A$4:$A$281,"รวมทั้งวิทยาเขตบางแสน"))</f>
        <v>375.45500000000004</v>
      </c>
      <c r="J284" s="242"/>
      <c r="K284" s="243">
        <f>SUM(SUMIFS(K4:K281,$B$4:$B$281,"ปริญญาโท",$A$4:$A$281,"รวมทั้งวิทยาเขตสระแก้ว"),
     SUMIFS(K4:K281,$B$4:$B$281,"ปริญญาโท",$A$4:$A$281,"รวมทั้งวิทยาเขตจันทบุรี"),
     SUMIFS(K4:K281,$B$4:$B$281,"ปริญญาโท",$A$4:$A$281,"รวมทั้งวิทยาเขตบางแสน"))</f>
        <v>147</v>
      </c>
      <c r="L284" s="244">
        <f>SUM(SUMIFS(L4:L281,$B$4:$B$281,"ปริญญาโท",$A$4:$A$281,"รวมทั้งวิทยาเขตสระแก้ว"),
     SUMIFS(L4:L281,$B$4:$B$281,"ปริญญาโท",$A$4:$A$281,"รวมทั้งวิทยาเขตจันทบุรี"),
     SUMIFS(L4:L281,$B$4:$B$281,"ปริญญาโท",$A$4:$A$281,"รวมทั้งวิทยาเขตบางแสน"))</f>
        <v>12.25</v>
      </c>
      <c r="M284" s="244">
        <f>SUM(SUMIFS(M4:M281,$B$4:$B$281,"ปริญญาโท",$A$4:$A$281,"รวมทั้งวิทยาเขตสระแก้ว"),
     SUMIFS(M4:M281,$B$4:$B$281,"ปริญญาโท",$A$4:$A$281,"รวมทั้งวิทยาเขตจันทบุรี"),
     SUMIFS(M4:M281,$B$4:$B$281,"ปริญญาโท",$A$4:$A$281,"รวมทั้งวิทยาเขตบางแสน"))</f>
        <v>18.75</v>
      </c>
      <c r="N284" s="242"/>
      <c r="O284" s="243">
        <f>SUM(SUMIFS(O4:O281,$B$4:$B$281,"ปริญญาโท",$A$4:$A$281,"รวมทั้งวิทยาเขตสระแก้ว"),
     SUMIFS(O4:O281,$B$4:$B$281,"ปริญญาโท",$A$4:$A$281,"รวมทั้งวิทยาเขตจันทบุรี"),
     SUMIFS(O4:O281,$B$4:$B$281,"ปริญญาโท",$A$4:$A$281,"รวมทั้งวิทยาเขตบางแสน"))</f>
        <v>6095</v>
      </c>
      <c r="P284" s="244">
        <f>SUM(SUMIFS(P4:P281,$B$4:$B$281,"ปริญญาโท",$A$4:$A$281,"รวมทั้งวิทยาเขตสระแก้ว"),
     SUMIFS(P4:P281,$B$4:$B$281,"ปริญญาโท",$A$4:$A$281,"รวมทั้งวิทยาเขตจันทบุรี"),
     SUMIFS(P4:P281,$B$4:$B$281,"ปริญญาโท",$A$4:$A$281,"รวมทั้งวิทยาเขตบางแสน"))</f>
        <v>253.97999999999996</v>
      </c>
      <c r="Q284" s="244">
        <f>SUM(SUMIFS(Q4:Q281,$B$4:$B$281,"ปริญญาโท",$A$4:$A$281,"รวมทั้งวิทยาเขตสระแก้ว"),
     SUMIFS(Q4:Q281,$B$4:$B$281,"ปริญญาโท",$A$4:$A$281,"รวมทั้งวิทยาเขตจันทบุรี"),
     SUMIFS(Q4:Q281,$B$4:$B$281,"ปริญญาโท",$A$4:$A$281,"รวมทั้งวิทยาเขตบางแสน"))</f>
        <v>382.45300000000003</v>
      </c>
      <c r="R284" s="242"/>
    </row>
    <row r="285" spans="1:26" ht="18.75" customHeight="1" thickBot="1" x14ac:dyDescent="0.4">
      <c r="A285" s="170" t="s">
        <v>92</v>
      </c>
      <c r="B285" s="161" t="s">
        <v>10</v>
      </c>
      <c r="C285" s="245">
        <f>SUM(SUMIFS(C4:C281,$B$4:$B$281,"ปริญญาเอก",$A$4:$A$281,"รวมทั้งวิทยาเขตสระแก้ว"),
     SUMIFS(C4:C281,$B$4:$B$281,"ปริญญาเอก",$A$4:$A$281,"รวมทั้งวิทยาเขตจันทบุรี"),
     SUMIFS(C4:C281,$B$4:$B$281,"ปริญญาเอก",$A$4:$A$281,"รวมทั้งวิทยาเขตบางแสน"))</f>
        <v>2027</v>
      </c>
      <c r="D285" s="246">
        <f>SUM(SUMIFS(D4:D281,$B$4:$B$281,"ปริญญาเอก",$A$4:$A$281,"รวมทั้งวิทยาเขตสระแก้ว"),
     SUMIFS(D4:D281,$B$4:$B$281,"ปริญญาเอก",$A$4:$A$281,"รวมทั้งวิทยาเขตจันทบุรี"),
     SUMIFS(D4:D281,$B$4:$B$281,"ปริญญาเอก",$A$4:$A$281,"รวมทั้งวิทยาเขตบางแสน"))</f>
        <v>168.94</v>
      </c>
      <c r="E285" s="246">
        <f>SUM(SUMIFS(E4:E281,$B$4:$B$281,"ปริญญาเอก",$A$4:$A$281,"รวมทั้งวิทยาเขตสระแก้ว"),
     SUMIFS(E4:E281,$B$4:$B$281,"ปริญญาเอก",$A$4:$A$281,"รวมทั้งวิทยาเขตจันทบุรี"),
     SUMIFS(E4:E281,$B$4:$B$281,"ปริญญาเอก",$A$4:$A$281,"รวมทั้งวิทยาเขตบางแสน"))</f>
        <v>261.97499999999997</v>
      </c>
      <c r="F285" s="247"/>
      <c r="G285" s="245">
        <f>SUM(SUMIFS(G4:G281,$B$4:$B$281,"ปริญญาเอก",$A$4:$A$281,"รวมทั้งวิทยาเขตสระแก้ว"),
     SUMIFS(G4:G281,$B$4:$B$281,"ปริญญาเอก",$A$4:$A$281,"รวมทั้งวิทยาเขตจันทบุรี"),
     SUMIFS(G4:G281,$B$4:$B$281,"ปริญญาเอก",$A$4:$A$281,"รวมทั้งวิทยาเขตบางแสน"))</f>
        <v>1775</v>
      </c>
      <c r="H285" s="246">
        <f>SUM(SUMIFS(H4:H281,$B$4:$B$281,"ปริญญาเอก",$A$4:$A$281,"รวมทั้งวิทยาเขตสระแก้ว"),
     SUMIFS(H4:H281,$B$4:$B$281,"ปริญญาเอก",$A$4:$A$281,"รวมทั้งวิทยาเขตจันทบุรี"),
     SUMIFS(H4:H281,$B$4:$B$281,"ปริญญาเอก",$A$4:$A$281,"รวมทั้งวิทยาเขตบางแสน"))</f>
        <v>147.91999999999996</v>
      </c>
      <c r="I285" s="246">
        <f>SUM(SUMIFS(I4:I281,$B$4:$B$281,"ปริญญาเอก",$A$4:$A$281,"รวมทั้งวิทยาเขตสระแก้ว"),
     SUMIFS(I4:I281,$B$4:$B$281,"ปริญญาเอก",$A$4:$A$281,"รวมทั้งวิทยาเขตจันทบุรี"),
     SUMIFS(I4:I281,$B$4:$B$281,"ปริญญาเอก",$A$4:$A$281,"รวมทั้งวิทยาเขตบางแสน"))</f>
        <v>235.60499999999999</v>
      </c>
      <c r="J285" s="247"/>
      <c r="K285" s="245">
        <f>SUM(SUMIFS(K4:K281,$B$4:$B$281,"ปริญญาเอก",$A$4:$A$281,"รวมทั้งวิทยาเขตสระแก้ว"),
     SUMIFS(K4:K281,$B$4:$B$281,"ปริญญาเอก",$A$4:$A$281,"รวมทั้งวิทยาเขตจันทบุรี"),
     SUMIFS(K4:K281,$B$4:$B$281,"ปริญญาเอก",$A$4:$A$281,"รวมทั้งวิทยาเขตบางแสน"))</f>
        <v>0</v>
      </c>
      <c r="L285" s="246">
        <f>SUM(SUMIFS(L4:L281,$B$4:$B$281,"ปริญญาเอก",$A$4:$A$281,"รวมทั้งวิทยาเขตสระแก้ว"),
     SUMIFS(L4:L281,$B$4:$B$281,"ปริญญาเอก",$A$4:$A$281,"รวมทั้งวิทยาเขตจันทบุรี"),
     SUMIFS(L4:L281,$B$4:$B$281,"ปริญญาเอก",$A$4:$A$281,"รวมทั้งวิทยาเขตบางแสน"))</f>
        <v>0</v>
      </c>
      <c r="M285" s="246">
        <f>SUM(SUMIFS(M4:M281,$B$4:$B$281,"ปริญญาเอก",$A$4:$A$281,"รวมทั้งวิทยาเขตสระแก้ว"),
     SUMIFS(M4:M281,$B$4:$B$281,"ปริญญาเอก",$A$4:$A$281,"รวมทั้งวิทยาเขตจันทบุรี"),
     SUMIFS(M4:M281,$B$4:$B$281,"ปริญญาเอก",$A$4:$A$281,"รวมทั้งวิทยาเขตบางแสน"))</f>
        <v>0</v>
      </c>
      <c r="N285" s="247"/>
      <c r="O285" s="245">
        <f>SUM(SUMIFS(O4:O281,$B$4:$B$281,"ปริญญาเอก",$A$4:$A$281,"รวมทั้งวิทยาเขตสระแก้ว"),
     SUMIFS(O4:O281,$B$4:$B$281,"ปริญญาเอก",$A$4:$A$281,"รวมทั้งวิทยาเขตจันทบุรี"),
     SUMIFS(O4:O281,$B$4:$B$281,"ปริญญาเอก",$A$4:$A$281,"รวมทั้งวิทยาเขตบางแสน"))</f>
        <v>3802</v>
      </c>
      <c r="P285" s="246">
        <f>SUM(SUMIFS(P4:P281,$B$4:$B$281,"ปริญญาเอก",$A$4:$A$281,"รวมทั้งวิทยาเขตสระแก้ว"),
     SUMIFS(P4:P281,$B$4:$B$281,"ปริญญาเอก",$A$4:$A$281,"รวมทั้งวิทยาเขตจันทบุรี"),
     SUMIFS(P4:P281,$B$4:$B$281,"ปริญญาเอก",$A$4:$A$281,"รวมทั้งวิทยาเขตบางแสน"))</f>
        <v>158.45999999999998</v>
      </c>
      <c r="Q285" s="246">
        <f>SUM(SUMIFS(Q4:Q281,$B$4:$B$281,"ปริญญาเอก",$A$4:$A$281,"รวมทั้งวิทยาเขตสระแก้ว"),
     SUMIFS(Q4:Q281,$B$4:$B$281,"ปริญญาเอก",$A$4:$A$281,"รวมทั้งวิทยาเขตจันทบุรี"),
     SUMIFS(Q4:Q281,$B$4:$B$281,"ปริญญาเอก",$A$4:$A$281,"รวมทั้งวิทยาเขตบางแสน"))</f>
        <v>248.84399999999994</v>
      </c>
      <c r="R285" s="247"/>
    </row>
    <row r="286" spans="1:26" ht="18.75" customHeight="1" x14ac:dyDescent="0.35">
      <c r="C286" s="101"/>
      <c r="D286" s="100"/>
      <c r="E286" s="100"/>
      <c r="F286" s="100"/>
      <c r="G286" s="69"/>
      <c r="H286" s="100"/>
      <c r="I286" s="100"/>
      <c r="J286" s="100"/>
      <c r="K286" s="101"/>
      <c r="L286" s="100"/>
      <c r="M286" s="100"/>
      <c r="N286" s="100"/>
      <c r="O286" s="69"/>
      <c r="P286" s="100"/>
      <c r="Q286" s="100"/>
      <c r="R286" s="102"/>
    </row>
    <row r="287" spans="1:26" ht="18.75" customHeight="1" x14ac:dyDescent="0.35">
      <c r="C287" s="101"/>
      <c r="D287" s="100"/>
      <c r="E287" s="100"/>
      <c r="F287" s="100"/>
      <c r="G287" s="69"/>
      <c r="H287" s="100"/>
      <c r="I287" s="100"/>
      <c r="J287" s="100"/>
      <c r="K287" s="101"/>
      <c r="L287" s="100"/>
      <c r="M287" s="100"/>
      <c r="N287" s="100"/>
      <c r="O287" s="69"/>
      <c r="P287" s="100"/>
      <c r="Q287" s="100"/>
      <c r="R287" s="102"/>
    </row>
    <row r="288" spans="1:26" ht="18.75" customHeight="1" x14ac:dyDescent="0.35">
      <c r="C288" s="101"/>
      <c r="D288" s="100"/>
      <c r="E288" s="100"/>
      <c r="F288" s="100"/>
      <c r="G288" s="69"/>
      <c r="H288" s="100"/>
      <c r="I288" s="100"/>
      <c r="J288" s="100"/>
      <c r="K288" s="101"/>
      <c r="L288" s="100"/>
      <c r="M288" s="100"/>
      <c r="N288" s="100"/>
      <c r="O288" s="69"/>
      <c r="P288" s="100"/>
      <c r="Q288" s="100"/>
      <c r="R288" s="102"/>
    </row>
  </sheetData>
  <mergeCells count="6">
    <mergeCell ref="O2:R2"/>
    <mergeCell ref="A2:A3"/>
    <mergeCell ref="B2:B3"/>
    <mergeCell ref="G2:J2"/>
    <mergeCell ref="C2:F2"/>
    <mergeCell ref="K2:N2"/>
  </mergeCells>
  <conditionalFormatting sqref="B269">
    <cfRule type="expression" dxfId="23" priority="14">
      <formula>INT(B269)=B269</formula>
    </cfRule>
  </conditionalFormatting>
  <conditionalFormatting sqref="C4:R285">
    <cfRule type="expression" dxfId="22" priority="1">
      <formula>ABS(C4-INT(C4))&lt;0.01</formula>
    </cfRule>
  </conditionalFormatting>
  <conditionalFormatting sqref="G1">
    <cfRule type="expression" dxfId="21" priority="89">
      <formula>$G$1="ปิด"</formula>
    </cfRule>
  </conditionalFormatting>
  <conditionalFormatting sqref="I1:K1">
    <cfRule type="expression" dxfId="20" priority="100">
      <formula>$G$1="เปิด"</formula>
    </cfRule>
    <cfRule type="expression" dxfId="19" priority="101">
      <formula>OR($G$1="ปิด", $G$1="")</formula>
    </cfRule>
  </conditionalFormatting>
  <dataValidations disablePrompts="1" count="2">
    <dataValidation allowBlank="1" sqref="D1:F1" xr:uid="{FA6BB213-3DED-4996-BD04-340D8E98BEBA}"/>
    <dataValidation type="list" showInputMessage="1" showErrorMessage="1" sqref="G1" xr:uid="{1EF97D9F-0BC3-4851-8D7A-3B93B790CAD1}">
      <formula1>"เปิด, ปิด, "</formula1>
    </dataValidation>
  </dataValidations>
  <printOptions horizontalCentered="1"/>
  <pageMargins left="0.2" right="0.19685039370078741" top="0.31496062992125984" bottom="0.31496062992125984" header="0" footer="0"/>
  <pageSetup paperSize="9" scale="70" orientation="landscape" r:id="rId1"/>
  <headerFooter>
    <oddFooter>&amp;CPage &amp;P of</oddFooter>
  </headerFooter>
  <ignoredErrors>
    <ignoredError sqref="P44:R44 P206 P2:R2 O253:R254 O47:R47 O4:R4 O236:R236 Q3:R3 P182 O210:R210 P233 P234:Q235 O240:R240 P237 O244:R244 P241 P245 O12:R12 P7:Q7 O16:R16 P14:Q15 P20:R20 P18:Q19 P23:R23 P21:Q22 P26:R26 P24:Q25 P29:R29 P27:Q28 P32:R32 P30:Q31 P35:R35 P33:Q34 P38:R38 P36:Q37 P41:R41 P39:Q40 P42:Q43 P45:Q46 O51:R51 P49:Q50 O55:R55 P52 R52 P53:Q54 P59 P57:Q58 P62 P60:Q61 P65 P63:Q64 P68 P66:Q67 P71 P69:Q70 P74 P72:Q73 P77 P75:Q76 P80 P78:Q79 P83 P81:Q82 P86 P84:Q85 P89 P87:Q88 O92:R92 P90:Q91 P96 P94:Q95 P99 P97:Q98 P102 P100:Q101 O105:R105 P103:Q104 O109:R109 P107:Q108 O113:R113 P111:Q112 P117 P115:Q116 P120 P118:Q119 P123 P121:Q122 P126 P124:Q125 P129 P127:Q128 P132 P130:Q131 P135 P133:Q134 P138 P136:Q137 P141 P139:Q140 P144 P142:Q143 O147:R147 P145:Q146 O151:R151 P149:Q150 P155 P153:Q154 P158 P156:Q157 P161 P159:Q160 P164 P162:Q163 P167 P165:Q166 P170 P168:Q169 O173:R173 P171:Q172 O177:R177 P175:Q176 P183:Q185 P194 P195:Q197 P198 P199:Q201 P207:Q209 O214:R214 P212:Q213 P218 P216:Q217 P221 P219:Q220 P224 P222:Q223 P227 P225:Q226 P228:Q229 P238:Q239 P242:Q243 P246:Q247 O258:R258 P256:Q257 O262:R262 P260:Q261 P264:Q265 P255 P259 P263 P48 R48 P56 R56 R59 R62 R65 R68 R71 R74 R77 R80 R83 R86 R89 P93 R93 R96 R99 R102 P106 R106 P110 R110 P114 R114 R117 R120 R123 R126 R129 R132 R135 R138 R141 R144 P148 R148 P152 R152 R155 R158 R161 R164 R167 R170 P174 R174 R194 R198 R206 P211 R211 P215 R215 R218 R221 R224 R227 R233 R237 R241 R245 R255 R259 R263 P5:R5 P6:Q6 P13:R13 P17:R1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44546A"/>
  </sheetPr>
  <dimension ref="A1:Z285"/>
  <sheetViews>
    <sheetView showGridLines="0" zoomScaleNormal="100" workbookViewId="0">
      <pane xSplit="2" ySplit="3" topLeftCell="C4" activePane="bottomRight" state="frozen"/>
      <selection activeCell="A20" sqref="A20"/>
      <selection pane="topRight" activeCell="A20" sqref="A20"/>
      <selection pane="bottomLeft" activeCell="A20" sqref="A20"/>
      <selection pane="bottomRight" activeCell="C4" sqref="C4"/>
    </sheetView>
  </sheetViews>
  <sheetFormatPr defaultColWidth="12.625" defaultRowHeight="15" customHeight="1" x14ac:dyDescent="0.35"/>
  <cols>
    <col min="1" max="1" width="30.25" style="64" customWidth="1"/>
    <col min="2" max="2" width="9" style="64" bestFit="1" customWidth="1"/>
    <col min="3" max="3" width="8.375" style="63" customWidth="1"/>
    <col min="4" max="7" width="8.375" style="64" customWidth="1"/>
    <col min="8" max="8" width="8.875" style="64" customWidth="1"/>
    <col min="9" max="9" width="8.375" style="64" customWidth="1"/>
    <col min="10" max="10" width="8.875" style="64" customWidth="1"/>
    <col min="11" max="11" width="8.375" style="63" customWidth="1"/>
    <col min="12" max="18" width="8.375" style="64" customWidth="1"/>
    <col min="19" max="26" width="9" style="64" customWidth="1"/>
    <col min="27" max="16384" width="12.625" style="64"/>
  </cols>
  <sheetData>
    <row r="1" spans="1:26" ht="18.75" customHeight="1" x14ac:dyDescent="0.35">
      <c r="A1" s="62" t="s">
        <v>115</v>
      </c>
      <c r="B1" s="62"/>
      <c r="D1" s="51"/>
      <c r="E1" s="71"/>
      <c r="F1" s="51"/>
      <c r="G1" s="115" t="s">
        <v>105</v>
      </c>
      <c r="H1" s="110" t="str">
        <f>IF($G$1="เปิด", "ป้อนคำค้น", "")</f>
        <v/>
      </c>
      <c r="I1" s="113" t="s">
        <v>109</v>
      </c>
      <c r="J1" s="113"/>
      <c r="K1" s="113"/>
      <c r="L1" s="114" t="str" cm="1">
        <f t="array" aca="1" ref="L1" ca="1">IF($G$1="เปิด", IF(I1="", "กรุณาพิมพ์คำค้นหาที่ H1", HYPERLINK("#A"&amp;MATCH("*"&amp;I1&amp;"*", A:A, 0), "🔎 คลิกเพื่อไปยัง: " &amp; _xlfn.XLOOKUP("*"&amp;I1&amp;"*", A4:A288, A4:A288, "ไม่พบข้อมูล", 2) &amp; " (" &amp; SUBSTITUTE(CELL("address", INDEX(A:A, MATCH("*"&amp;I1&amp;"*", A:A, 0))), "$", "") &amp; ")")), "")</f>
        <v/>
      </c>
      <c r="M1" s="114"/>
      <c r="N1" s="114"/>
      <c r="O1" s="114"/>
      <c r="P1" s="109"/>
      <c r="Q1" s="108" t="str" cm="1">
        <f t="array" aca="1" ref="Q1" ca="1">HYPERLINK(IF(รวมพิเศษ!$G$1="เปิด", "#" &amp; CELL("address", รวมพิเศษ!A1), "#Q1"), IF(รวมพิเศษ!$G$1="เปิด", "กลับ ↩", ""))</f>
        <v/>
      </c>
      <c r="R1" s="73"/>
      <c r="S1" s="65"/>
      <c r="T1" s="65"/>
      <c r="U1" s="65"/>
      <c r="V1" s="65"/>
      <c r="W1" s="65"/>
      <c r="X1" s="65"/>
      <c r="Y1" s="65"/>
      <c r="Z1" s="65"/>
    </row>
    <row r="2" spans="1:26" ht="21.75" customHeight="1" x14ac:dyDescent="0.35">
      <c r="A2" s="295" t="s">
        <v>0</v>
      </c>
      <c r="B2" s="297" t="s">
        <v>106</v>
      </c>
      <c r="C2" s="298" t="s">
        <v>112</v>
      </c>
      <c r="D2" s="299"/>
      <c r="E2" s="299"/>
      <c r="F2" s="300"/>
      <c r="G2" s="298" t="s">
        <v>102</v>
      </c>
      <c r="H2" s="299"/>
      <c r="I2" s="299"/>
      <c r="J2" s="300"/>
      <c r="K2" s="298" t="s">
        <v>103</v>
      </c>
      <c r="L2" s="299"/>
      <c r="M2" s="299"/>
      <c r="N2" s="300"/>
      <c r="O2" s="292" t="s">
        <v>114</v>
      </c>
      <c r="P2" s="301"/>
      <c r="Q2" s="301"/>
      <c r="R2" s="302"/>
    </row>
    <row r="3" spans="1:26" ht="66.75" customHeight="1" x14ac:dyDescent="0.35">
      <c r="A3" s="296"/>
      <c r="B3" s="303"/>
      <c r="C3" s="78" t="s">
        <v>1</v>
      </c>
      <c r="D3" s="75" t="s">
        <v>2</v>
      </c>
      <c r="E3" s="76" t="s">
        <v>3</v>
      </c>
      <c r="F3" s="77" t="s">
        <v>4</v>
      </c>
      <c r="G3" s="74" t="s">
        <v>1</v>
      </c>
      <c r="H3" s="75" t="s">
        <v>2</v>
      </c>
      <c r="I3" s="76" t="s">
        <v>3</v>
      </c>
      <c r="J3" s="77" t="s">
        <v>107</v>
      </c>
      <c r="K3" s="78" t="s">
        <v>1</v>
      </c>
      <c r="L3" s="75" t="s">
        <v>2</v>
      </c>
      <c r="M3" s="76" t="s">
        <v>3</v>
      </c>
      <c r="N3" s="77" t="s">
        <v>4</v>
      </c>
      <c r="O3" s="178" t="s">
        <v>110</v>
      </c>
      <c r="P3" s="76" t="s">
        <v>111</v>
      </c>
      <c r="Q3" s="76" t="s">
        <v>5</v>
      </c>
      <c r="R3" s="77" t="s">
        <v>4</v>
      </c>
    </row>
    <row r="4" spans="1:26" ht="18.75" customHeight="1" x14ac:dyDescent="0.35">
      <c r="A4" s="148" t="s">
        <v>11</v>
      </c>
      <c r="B4" s="144"/>
      <c r="C4" s="80"/>
      <c r="D4" s="28"/>
      <c r="E4" s="28"/>
      <c r="F4" s="29"/>
      <c r="G4" s="79"/>
      <c r="H4" s="28"/>
      <c r="I4" s="28"/>
      <c r="J4" s="29"/>
      <c r="K4" s="80"/>
      <c r="L4" s="28"/>
      <c r="M4" s="28"/>
      <c r="N4" s="29"/>
      <c r="O4" s="66"/>
      <c r="P4" s="66"/>
      <c r="Q4" s="30"/>
      <c r="R4" s="31"/>
    </row>
    <row r="5" spans="1:26" ht="18.75" customHeight="1" x14ac:dyDescent="0.35">
      <c r="A5" s="145" t="s">
        <v>7</v>
      </c>
      <c r="B5" s="145" t="s">
        <v>8</v>
      </c>
      <c r="C5" s="271">
        <v>55</v>
      </c>
      <c r="D5" s="20">
        <f>ROUND(C5/18,2)</f>
        <v>3.06</v>
      </c>
      <c r="E5" s="20"/>
      <c r="F5" s="21">
        <f>SUM(D5,E6:E7)</f>
        <v>3.06</v>
      </c>
      <c r="G5" s="81"/>
      <c r="H5" s="20">
        <f>ROUND(G5/18,2)</f>
        <v>0</v>
      </c>
      <c r="I5" s="20"/>
      <c r="J5" s="21">
        <f>SUM(H5,I6:I7)</f>
        <v>0</v>
      </c>
      <c r="K5" s="82"/>
      <c r="L5" s="20">
        <f>ROUND(K5/18,2)</f>
        <v>0</v>
      </c>
      <c r="M5" s="20"/>
      <c r="N5" s="21">
        <f>SUM(L5,M6:M7)</f>
        <v>0</v>
      </c>
      <c r="O5" s="22">
        <f t="shared" ref="O5:O7" si="0">SUMIF($C$3:$N$3,"SCH",C5:N5)</f>
        <v>55</v>
      </c>
      <c r="P5" s="22">
        <f>ROUND(O5/36,2)</f>
        <v>1.53</v>
      </c>
      <c r="Q5" s="22"/>
      <c r="R5" s="23">
        <f>SUM(P5,Q6:Q7)</f>
        <v>1.53</v>
      </c>
    </row>
    <row r="6" spans="1:26" ht="18.75" customHeight="1" x14ac:dyDescent="0.35">
      <c r="A6" s="145"/>
      <c r="B6" s="145" t="s">
        <v>9</v>
      </c>
      <c r="C6" s="271"/>
      <c r="D6" s="20">
        <f t="shared" ref="D6:D7" si="1">ROUND(C6/12,2)</f>
        <v>0</v>
      </c>
      <c r="E6" s="20">
        <f t="shared" ref="E6:E7" si="2">D6*1.8</f>
        <v>0</v>
      </c>
      <c r="F6" s="21"/>
      <c r="G6" s="81"/>
      <c r="H6" s="20">
        <f t="shared" ref="H6:H7" si="3">ROUND(G6/12,2)</f>
        <v>0</v>
      </c>
      <c r="I6" s="20">
        <f t="shared" ref="I6:I7" si="4">H6*1.8</f>
        <v>0</v>
      </c>
      <c r="J6" s="21"/>
      <c r="K6" s="82"/>
      <c r="L6" s="20">
        <f t="shared" ref="L6:L7" si="5">ROUND(K6/12,2)</f>
        <v>0</v>
      </c>
      <c r="M6" s="20">
        <f t="shared" ref="M6:M7" si="6">L6*1.8</f>
        <v>0</v>
      </c>
      <c r="N6" s="21"/>
      <c r="O6" s="22">
        <f t="shared" si="0"/>
        <v>0</v>
      </c>
      <c r="P6" s="22">
        <f t="shared" ref="P6:P7" si="7">ROUND(O6/24,2)</f>
        <v>0</v>
      </c>
      <c r="Q6" s="22">
        <f t="shared" ref="Q6:Q7" si="8">P6*1.8</f>
        <v>0</v>
      </c>
      <c r="R6" s="23"/>
    </row>
    <row r="7" spans="1:26" ht="18.75" customHeight="1" thickBot="1" x14ac:dyDescent="0.4">
      <c r="A7" s="146"/>
      <c r="B7" s="146" t="s">
        <v>10</v>
      </c>
      <c r="C7" s="272"/>
      <c r="D7" s="24">
        <f t="shared" si="1"/>
        <v>0</v>
      </c>
      <c r="E7" s="24">
        <f t="shared" si="2"/>
        <v>0</v>
      </c>
      <c r="F7" s="25"/>
      <c r="G7" s="83"/>
      <c r="H7" s="24">
        <f t="shared" si="3"/>
        <v>0</v>
      </c>
      <c r="I7" s="24">
        <f t="shared" si="4"/>
        <v>0</v>
      </c>
      <c r="J7" s="25"/>
      <c r="K7" s="84"/>
      <c r="L7" s="24">
        <f t="shared" si="5"/>
        <v>0</v>
      </c>
      <c r="M7" s="24">
        <f t="shared" si="6"/>
        <v>0</v>
      </c>
      <c r="N7" s="25"/>
      <c r="O7" s="92">
        <f t="shared" si="0"/>
        <v>0</v>
      </c>
      <c r="P7" s="26">
        <f t="shared" si="7"/>
        <v>0</v>
      </c>
      <c r="Q7" s="26">
        <f t="shared" si="8"/>
        <v>0</v>
      </c>
      <c r="R7" s="27"/>
    </row>
    <row r="8" spans="1:26" ht="18.75" customHeight="1" x14ac:dyDescent="0.35">
      <c r="A8" s="171" t="s">
        <v>6</v>
      </c>
      <c r="B8" s="147"/>
      <c r="C8" s="273"/>
      <c r="D8" s="86"/>
      <c r="E8" s="86"/>
      <c r="F8" s="87"/>
      <c r="G8" s="85"/>
      <c r="H8" s="86"/>
      <c r="I8" s="86"/>
      <c r="J8" s="87"/>
      <c r="K8" s="88"/>
      <c r="L8" s="86"/>
      <c r="M8" s="86"/>
      <c r="N8" s="87"/>
      <c r="O8" s="66"/>
      <c r="P8" s="89"/>
      <c r="Q8" s="89"/>
      <c r="R8" s="90"/>
    </row>
    <row r="9" spans="1:26" ht="18.75" customHeight="1" x14ac:dyDescent="0.35">
      <c r="A9" s="145" t="s">
        <v>7</v>
      </c>
      <c r="B9" s="145" t="s">
        <v>8</v>
      </c>
      <c r="C9" s="271">
        <v>26587</v>
      </c>
      <c r="D9" s="20">
        <f>ROUND(C9/18,2)</f>
        <v>1477.06</v>
      </c>
      <c r="E9" s="20"/>
      <c r="F9" s="21">
        <f>SUM(D9,E10:E11)</f>
        <v>1666.51</v>
      </c>
      <c r="G9" s="81">
        <f>3+24846</f>
        <v>24849</v>
      </c>
      <c r="H9" s="20">
        <f>ROUND(G9/18,2)</f>
        <v>1380.5</v>
      </c>
      <c r="I9" s="20"/>
      <c r="J9" s="21">
        <f>SUM(H9,I10:I11)</f>
        <v>1542.95</v>
      </c>
      <c r="K9" s="82">
        <v>18</v>
      </c>
      <c r="L9" s="20">
        <f>ROUND(K9/18,2)</f>
        <v>1</v>
      </c>
      <c r="M9" s="20"/>
      <c r="N9" s="21">
        <f>SUM(L9,M10:M11)</f>
        <v>5.5</v>
      </c>
      <c r="O9" s="22">
        <f t="shared" ref="O9:O15" si="9">SUMIF($C$3:$N$3,"SCH",C9:N9)</f>
        <v>51454</v>
      </c>
      <c r="P9" s="22">
        <f>ROUND(O9/36,2)</f>
        <v>1429.28</v>
      </c>
      <c r="Q9" s="22"/>
      <c r="R9" s="23">
        <f>SUM(P9,Q10:Q11)</f>
        <v>1607.48</v>
      </c>
    </row>
    <row r="10" spans="1:26" ht="18.75" customHeight="1" x14ac:dyDescent="0.35">
      <c r="A10" s="172"/>
      <c r="B10" s="145" t="s">
        <v>9</v>
      </c>
      <c r="C10" s="271">
        <v>1203</v>
      </c>
      <c r="D10" s="20">
        <f>ROUND(C10/12,2)</f>
        <v>100.25</v>
      </c>
      <c r="E10" s="20">
        <f>D10*1.8</f>
        <v>180.45000000000002</v>
      </c>
      <c r="F10" s="21"/>
      <c r="G10" s="81">
        <v>993</v>
      </c>
      <c r="H10" s="20">
        <f>ROUND(G10/12,2)</f>
        <v>82.75</v>
      </c>
      <c r="I10" s="20">
        <f>H10*1.8</f>
        <v>148.95000000000002</v>
      </c>
      <c r="J10" s="21"/>
      <c r="K10" s="82">
        <v>30</v>
      </c>
      <c r="L10" s="20">
        <f>ROUND(K10/12,2)</f>
        <v>2.5</v>
      </c>
      <c r="M10" s="20">
        <f>L10*1.8</f>
        <v>4.5</v>
      </c>
      <c r="N10" s="21"/>
      <c r="O10" s="22">
        <f t="shared" si="9"/>
        <v>2226</v>
      </c>
      <c r="P10" s="22">
        <f>ROUND(O10/24,2)</f>
        <v>92.75</v>
      </c>
      <c r="Q10" s="22">
        <f>P10*1.8</f>
        <v>166.95000000000002</v>
      </c>
      <c r="R10" s="23"/>
    </row>
    <row r="11" spans="1:26" ht="18.75" customHeight="1" thickBot="1" x14ac:dyDescent="0.4">
      <c r="A11" s="146"/>
      <c r="B11" s="146" t="s">
        <v>10</v>
      </c>
      <c r="C11" s="272">
        <v>60</v>
      </c>
      <c r="D11" s="24">
        <f>ROUND(C11/12,2)</f>
        <v>5</v>
      </c>
      <c r="E11" s="24">
        <f>D11*1.8</f>
        <v>9</v>
      </c>
      <c r="F11" s="24"/>
      <c r="G11" s="83">
        <v>90</v>
      </c>
      <c r="H11" s="24">
        <f>ROUND(G11/12,2)</f>
        <v>7.5</v>
      </c>
      <c r="I11" s="24">
        <f>H11*1.8</f>
        <v>13.5</v>
      </c>
      <c r="J11" s="24"/>
      <c r="K11" s="84"/>
      <c r="L11" s="24">
        <f>ROUND(K11/12,2)</f>
        <v>0</v>
      </c>
      <c r="M11" s="24">
        <f>L11*1.8</f>
        <v>0</v>
      </c>
      <c r="N11" s="91"/>
      <c r="O11" s="92">
        <f t="shared" si="9"/>
        <v>150</v>
      </c>
      <c r="P11" s="26">
        <f>ROUND(O11/24,2)</f>
        <v>6.25</v>
      </c>
      <c r="Q11" s="26">
        <f>P11*1.8</f>
        <v>11.25</v>
      </c>
      <c r="R11" s="27"/>
    </row>
    <row r="12" spans="1:26" ht="18.75" customHeight="1" x14ac:dyDescent="0.35">
      <c r="A12" s="148" t="s">
        <v>12</v>
      </c>
      <c r="B12" s="148"/>
      <c r="C12" s="274"/>
      <c r="D12" s="28"/>
      <c r="E12" s="28"/>
      <c r="F12" s="29"/>
      <c r="G12" s="79"/>
      <c r="H12" s="28"/>
      <c r="I12" s="28"/>
      <c r="J12" s="29"/>
      <c r="K12" s="80"/>
      <c r="L12" s="28"/>
      <c r="M12" s="28"/>
      <c r="N12" s="29"/>
      <c r="O12" s="30">
        <f t="shared" si="9"/>
        <v>0</v>
      </c>
      <c r="P12" s="30"/>
      <c r="Q12" s="30"/>
      <c r="R12" s="31"/>
    </row>
    <row r="13" spans="1:26" ht="18.75" customHeight="1" x14ac:dyDescent="0.35">
      <c r="A13" s="145" t="s">
        <v>7</v>
      </c>
      <c r="B13" s="145" t="s">
        <v>8</v>
      </c>
      <c r="C13" s="271">
        <v>0</v>
      </c>
      <c r="D13" s="20">
        <f>ROUND(C13/18,2)</f>
        <v>0</v>
      </c>
      <c r="E13" s="20"/>
      <c r="F13" s="21">
        <f>SUM(D13,E14:E15)</f>
        <v>61.08</v>
      </c>
      <c r="G13" s="81"/>
      <c r="H13" s="20">
        <f>ROUND(G13/18,2)</f>
        <v>0</v>
      </c>
      <c r="I13" s="20"/>
      <c r="J13" s="21">
        <f>SUM(H13,I14:I15)</f>
        <v>65.33</v>
      </c>
      <c r="K13" s="82"/>
      <c r="L13" s="20">
        <f>ROUND(K13/18,2)</f>
        <v>0</v>
      </c>
      <c r="M13" s="20"/>
      <c r="N13" s="21">
        <f>SUM(L13,M14:M15)</f>
        <v>0</v>
      </c>
      <c r="O13" s="22">
        <f t="shared" si="9"/>
        <v>0</v>
      </c>
      <c r="P13" s="22">
        <f>ROUND(O13/36,2)</f>
        <v>0</v>
      </c>
      <c r="Q13" s="22"/>
      <c r="R13" s="23">
        <f>SUM(P13,Q14:Q15)</f>
        <v>63.21</v>
      </c>
    </row>
    <row r="14" spans="1:26" ht="18.75" customHeight="1" x14ac:dyDescent="0.35">
      <c r="A14" s="172"/>
      <c r="B14" s="145" t="s">
        <v>9</v>
      </c>
      <c r="C14" s="271">
        <v>733</v>
      </c>
      <c r="D14" s="20">
        <f t="shared" ref="D14:D15" si="10">ROUND(C14/12,2)</f>
        <v>61.08</v>
      </c>
      <c r="E14" s="20">
        <f t="shared" ref="E14:E15" si="11">D14*1</f>
        <v>61.08</v>
      </c>
      <c r="F14" s="21"/>
      <c r="G14" s="81">
        <v>784</v>
      </c>
      <c r="H14" s="20">
        <f t="shared" ref="H14:H15" si="12">ROUND(G14/12,2)</f>
        <v>65.33</v>
      </c>
      <c r="I14" s="20">
        <f t="shared" ref="I14:I15" si="13">H14*1</f>
        <v>65.33</v>
      </c>
      <c r="J14" s="21"/>
      <c r="K14" s="82"/>
      <c r="L14" s="20">
        <f t="shared" ref="L14:L15" si="14">ROUND(K14/12,2)</f>
        <v>0</v>
      </c>
      <c r="M14" s="20">
        <f t="shared" ref="M14:M15" si="15">L14*1</f>
        <v>0</v>
      </c>
      <c r="N14" s="21"/>
      <c r="O14" s="22">
        <f t="shared" si="9"/>
        <v>1517</v>
      </c>
      <c r="P14" s="22">
        <f t="shared" ref="P14:P15" si="16">ROUND(O14/24,2)</f>
        <v>63.21</v>
      </c>
      <c r="Q14" s="22">
        <f t="shared" ref="Q14:Q15" si="17">P14*1</f>
        <v>63.21</v>
      </c>
      <c r="R14" s="23"/>
    </row>
    <row r="15" spans="1:26" ht="18.75" customHeight="1" thickBot="1" x14ac:dyDescent="0.4">
      <c r="A15" s="146"/>
      <c r="B15" s="146" t="s">
        <v>10</v>
      </c>
      <c r="C15" s="272"/>
      <c r="D15" s="24">
        <f t="shared" si="10"/>
        <v>0</v>
      </c>
      <c r="E15" s="24">
        <f t="shared" si="11"/>
        <v>0</v>
      </c>
      <c r="F15" s="25"/>
      <c r="G15" s="83"/>
      <c r="H15" s="24">
        <f t="shared" si="12"/>
        <v>0</v>
      </c>
      <c r="I15" s="24">
        <f t="shared" si="13"/>
        <v>0</v>
      </c>
      <c r="J15" s="25"/>
      <c r="K15" s="84"/>
      <c r="L15" s="24">
        <f t="shared" si="14"/>
        <v>0</v>
      </c>
      <c r="M15" s="24">
        <f t="shared" si="15"/>
        <v>0</v>
      </c>
      <c r="N15" s="25"/>
      <c r="O15" s="92">
        <f t="shared" si="9"/>
        <v>0</v>
      </c>
      <c r="P15" s="26">
        <f t="shared" si="16"/>
        <v>0</v>
      </c>
      <c r="Q15" s="26">
        <f t="shared" si="17"/>
        <v>0</v>
      </c>
      <c r="R15" s="27"/>
    </row>
    <row r="16" spans="1:26" ht="18.75" customHeight="1" x14ac:dyDescent="0.35">
      <c r="A16" s="148" t="s">
        <v>13</v>
      </c>
      <c r="B16" s="149"/>
      <c r="C16" s="274"/>
      <c r="D16" s="28"/>
      <c r="E16" s="28"/>
      <c r="F16" s="29"/>
      <c r="G16" s="79"/>
      <c r="H16" s="28"/>
      <c r="I16" s="28"/>
      <c r="J16" s="29"/>
      <c r="K16" s="80"/>
      <c r="L16" s="28"/>
      <c r="M16" s="28"/>
      <c r="N16" s="29"/>
      <c r="O16" s="66"/>
      <c r="P16" s="30"/>
      <c r="Q16" s="30"/>
      <c r="R16" s="31"/>
    </row>
    <row r="17" spans="1:18" ht="18.75" customHeight="1" x14ac:dyDescent="0.35">
      <c r="A17" s="145" t="s">
        <v>7</v>
      </c>
      <c r="B17" s="150" t="s">
        <v>8</v>
      </c>
      <c r="C17" s="274">
        <v>446</v>
      </c>
      <c r="D17" s="28">
        <f>ROUND(C17/18,2)</f>
        <v>24.78</v>
      </c>
      <c r="E17" s="28"/>
      <c r="F17" s="29">
        <f>SUM(D17,E18:E19)</f>
        <v>24.78</v>
      </c>
      <c r="G17" s="79">
        <v>38</v>
      </c>
      <c r="H17" s="28">
        <f>ROUND(G17/18,2)</f>
        <v>2.11</v>
      </c>
      <c r="I17" s="28"/>
      <c r="J17" s="29">
        <f>SUM(H17,I18:I19)</f>
        <v>2.11</v>
      </c>
      <c r="K17" s="80"/>
      <c r="L17" s="28">
        <f>ROUND(K17/18,2)</f>
        <v>0</v>
      </c>
      <c r="M17" s="28"/>
      <c r="N17" s="29">
        <f>SUM(L17,M18:M19)</f>
        <v>0</v>
      </c>
      <c r="O17" s="22">
        <f t="shared" ref="O17:O46" si="18">SUMIF($C$3:$N$3,"SCH",C17:N17)</f>
        <v>484</v>
      </c>
      <c r="P17" s="30">
        <f>ROUND(O17/36,2)</f>
        <v>13.44</v>
      </c>
      <c r="Q17" s="30"/>
      <c r="R17" s="31">
        <f>SUM(P17,Q18:Q19)</f>
        <v>13.44</v>
      </c>
    </row>
    <row r="18" spans="1:18" ht="18.75" customHeight="1" x14ac:dyDescent="0.35">
      <c r="A18" s="148"/>
      <c r="B18" s="150" t="s">
        <v>9</v>
      </c>
      <c r="C18" s="274"/>
      <c r="D18" s="28">
        <f t="shared" ref="D18:D19" si="19">ROUND(C18/12,2)</f>
        <v>0</v>
      </c>
      <c r="E18" s="28">
        <f t="shared" ref="E18:E19" si="20">D18*1</f>
        <v>0</v>
      </c>
      <c r="F18" s="29"/>
      <c r="G18" s="79"/>
      <c r="H18" s="28">
        <f t="shared" ref="H18:H19" si="21">ROUND(G18/12,2)</f>
        <v>0</v>
      </c>
      <c r="I18" s="28">
        <f t="shared" ref="I18:I19" si="22">H18*1</f>
        <v>0</v>
      </c>
      <c r="J18" s="29"/>
      <c r="K18" s="80"/>
      <c r="L18" s="28">
        <f t="shared" ref="L18:L19" si="23">ROUND(K18/12,2)</f>
        <v>0</v>
      </c>
      <c r="M18" s="28">
        <f t="shared" ref="M18:M19" si="24">L18*1</f>
        <v>0</v>
      </c>
      <c r="N18" s="29"/>
      <c r="O18" s="22">
        <f t="shared" si="18"/>
        <v>0</v>
      </c>
      <c r="P18" s="30">
        <f t="shared" ref="P18:P19" si="25">ROUND(O18/24,2)</f>
        <v>0</v>
      </c>
      <c r="Q18" s="30">
        <f t="shared" ref="Q18:Q19" si="26">P18*1</f>
        <v>0</v>
      </c>
      <c r="R18" s="31"/>
    </row>
    <row r="19" spans="1:18" ht="18.75" customHeight="1" x14ac:dyDescent="0.35">
      <c r="A19" s="148"/>
      <c r="B19" s="150" t="s">
        <v>10</v>
      </c>
      <c r="C19" s="274"/>
      <c r="D19" s="28">
        <f t="shared" si="19"/>
        <v>0</v>
      </c>
      <c r="E19" s="28">
        <f t="shared" si="20"/>
        <v>0</v>
      </c>
      <c r="F19" s="29"/>
      <c r="G19" s="79"/>
      <c r="H19" s="28">
        <f t="shared" si="21"/>
        <v>0</v>
      </c>
      <c r="I19" s="28">
        <f t="shared" si="22"/>
        <v>0</v>
      </c>
      <c r="J19" s="29"/>
      <c r="K19" s="80"/>
      <c r="L19" s="28">
        <f t="shared" si="23"/>
        <v>0</v>
      </c>
      <c r="M19" s="28">
        <f t="shared" si="24"/>
        <v>0</v>
      </c>
      <c r="N19" s="29"/>
      <c r="O19" s="22">
        <f t="shared" si="18"/>
        <v>0</v>
      </c>
      <c r="P19" s="30">
        <f t="shared" si="25"/>
        <v>0</v>
      </c>
      <c r="Q19" s="30">
        <f t="shared" si="26"/>
        <v>0</v>
      </c>
      <c r="R19" s="31"/>
    </row>
    <row r="20" spans="1:18" ht="18.75" customHeight="1" x14ac:dyDescent="0.35">
      <c r="A20" s="145" t="s">
        <v>14</v>
      </c>
      <c r="B20" s="145" t="s">
        <v>8</v>
      </c>
      <c r="C20" s="271"/>
      <c r="D20" s="20">
        <f>ROUND(C20/18,2)</f>
        <v>0</v>
      </c>
      <c r="E20" s="20"/>
      <c r="F20" s="21">
        <f>SUM(D20,E21:E22)</f>
        <v>0</v>
      </c>
      <c r="G20" s="81"/>
      <c r="H20" s="20">
        <f>ROUND(G20/18,2)</f>
        <v>0</v>
      </c>
      <c r="I20" s="20"/>
      <c r="J20" s="21">
        <f>SUM(H20,I21:I22)</f>
        <v>0</v>
      </c>
      <c r="K20" s="82"/>
      <c r="L20" s="20">
        <f>ROUND(K20/18,2)</f>
        <v>0</v>
      </c>
      <c r="M20" s="20"/>
      <c r="N20" s="21">
        <f>SUM(L20,M21:M22)</f>
        <v>0</v>
      </c>
      <c r="O20" s="22">
        <f t="shared" si="18"/>
        <v>0</v>
      </c>
      <c r="P20" s="22">
        <f>ROUND(O20/36,2)</f>
        <v>0</v>
      </c>
      <c r="Q20" s="22"/>
      <c r="R20" s="23">
        <f>SUM(P20,Q21:Q22)</f>
        <v>0</v>
      </c>
    </row>
    <row r="21" spans="1:18" ht="18.75" customHeight="1" x14ac:dyDescent="0.35">
      <c r="A21" s="145"/>
      <c r="B21" s="145" t="s">
        <v>9</v>
      </c>
      <c r="C21" s="271"/>
      <c r="D21" s="20">
        <f t="shared" ref="D21:D22" si="27">ROUND(C21/12,2)</f>
        <v>0</v>
      </c>
      <c r="E21" s="28">
        <f t="shared" ref="E21:E22" si="28">D21*1</f>
        <v>0</v>
      </c>
      <c r="F21" s="21"/>
      <c r="G21" s="81"/>
      <c r="H21" s="20">
        <f t="shared" ref="H21:H22" si="29">ROUND(G21/12,2)</f>
        <v>0</v>
      </c>
      <c r="I21" s="28">
        <f t="shared" ref="I21:I22" si="30">H21*1</f>
        <v>0</v>
      </c>
      <c r="J21" s="21"/>
      <c r="K21" s="82"/>
      <c r="L21" s="20">
        <f t="shared" ref="L21:L22" si="31">ROUND(K21/12,2)</f>
        <v>0</v>
      </c>
      <c r="M21" s="28">
        <f t="shared" ref="M21:M22" si="32">L21*1</f>
        <v>0</v>
      </c>
      <c r="N21" s="21"/>
      <c r="O21" s="22">
        <f t="shared" si="18"/>
        <v>0</v>
      </c>
      <c r="P21" s="22">
        <f t="shared" ref="P21:P22" si="33">ROUND(O21/24,2)</f>
        <v>0</v>
      </c>
      <c r="Q21" s="22">
        <f t="shared" ref="Q21:Q22" si="34">P21*1</f>
        <v>0</v>
      </c>
      <c r="R21" s="23"/>
    </row>
    <row r="22" spans="1:18" ht="18.75" customHeight="1" x14ac:dyDescent="0.35">
      <c r="A22" s="145"/>
      <c r="B22" s="145" t="s">
        <v>10</v>
      </c>
      <c r="C22" s="271"/>
      <c r="D22" s="20">
        <f t="shared" si="27"/>
        <v>0</v>
      </c>
      <c r="E22" s="28">
        <f t="shared" si="28"/>
        <v>0</v>
      </c>
      <c r="F22" s="21"/>
      <c r="G22" s="81"/>
      <c r="H22" s="20">
        <f t="shared" si="29"/>
        <v>0</v>
      </c>
      <c r="I22" s="28">
        <f t="shared" si="30"/>
        <v>0</v>
      </c>
      <c r="J22" s="21"/>
      <c r="K22" s="82"/>
      <c r="L22" s="20">
        <f t="shared" si="31"/>
        <v>0</v>
      </c>
      <c r="M22" s="28">
        <f t="shared" si="32"/>
        <v>0</v>
      </c>
      <c r="N22" s="21"/>
      <c r="O22" s="22">
        <f t="shared" si="18"/>
        <v>0</v>
      </c>
      <c r="P22" s="22">
        <f t="shared" si="33"/>
        <v>0</v>
      </c>
      <c r="Q22" s="22">
        <f t="shared" si="34"/>
        <v>0</v>
      </c>
      <c r="R22" s="23"/>
    </row>
    <row r="23" spans="1:18" ht="18.75" customHeight="1" x14ac:dyDescent="0.35">
      <c r="A23" s="145" t="s">
        <v>15</v>
      </c>
      <c r="B23" s="145" t="s">
        <v>8</v>
      </c>
      <c r="C23" s="271"/>
      <c r="D23" s="20">
        <f>ROUND(C23/18,2)</f>
        <v>0</v>
      </c>
      <c r="E23" s="20"/>
      <c r="F23" s="21">
        <f>SUM(D23,E24:E25)</f>
        <v>0</v>
      </c>
      <c r="G23" s="81"/>
      <c r="H23" s="20">
        <f>ROUND(G23/18,2)</f>
        <v>0</v>
      </c>
      <c r="I23" s="20"/>
      <c r="J23" s="21">
        <f>SUM(H23,I24:I25)</f>
        <v>0</v>
      </c>
      <c r="K23" s="82"/>
      <c r="L23" s="20">
        <f>ROUND(K23/18,2)</f>
        <v>0</v>
      </c>
      <c r="M23" s="20"/>
      <c r="N23" s="21">
        <f>SUM(L23,M24:M25)</f>
        <v>0</v>
      </c>
      <c r="O23" s="22">
        <f t="shared" si="18"/>
        <v>0</v>
      </c>
      <c r="P23" s="22">
        <f>ROUND(O23/36,2)</f>
        <v>0</v>
      </c>
      <c r="Q23" s="22"/>
      <c r="R23" s="23">
        <f>SUM(P23,Q24:Q25)</f>
        <v>0</v>
      </c>
    </row>
    <row r="24" spans="1:18" ht="18.75" customHeight="1" x14ac:dyDescent="0.35">
      <c r="A24" s="145"/>
      <c r="B24" s="145" t="s">
        <v>9</v>
      </c>
      <c r="C24" s="271"/>
      <c r="D24" s="20">
        <f t="shared" ref="D24:D25" si="35">ROUND(C24/12,2)</f>
        <v>0</v>
      </c>
      <c r="E24" s="28">
        <f t="shared" ref="E24:E25" si="36">D24*1</f>
        <v>0</v>
      </c>
      <c r="F24" s="21"/>
      <c r="G24" s="81"/>
      <c r="H24" s="20">
        <f t="shared" ref="H24:H25" si="37">ROUND(G24/12,2)</f>
        <v>0</v>
      </c>
      <c r="I24" s="28">
        <f t="shared" ref="I24:I25" si="38">H24*1</f>
        <v>0</v>
      </c>
      <c r="J24" s="21"/>
      <c r="K24" s="82"/>
      <c r="L24" s="20">
        <f t="shared" ref="L24:L25" si="39">ROUND(K24/12,2)</f>
        <v>0</v>
      </c>
      <c r="M24" s="28">
        <f t="shared" ref="M24:M25" si="40">L24*1</f>
        <v>0</v>
      </c>
      <c r="N24" s="21"/>
      <c r="O24" s="22">
        <f t="shared" si="18"/>
        <v>0</v>
      </c>
      <c r="P24" s="22">
        <f t="shared" ref="P24:P25" si="41">ROUND(O24/24,2)</f>
        <v>0</v>
      </c>
      <c r="Q24" s="22">
        <f t="shared" ref="Q24:Q25" si="42">P24*1</f>
        <v>0</v>
      </c>
      <c r="R24" s="23"/>
    </row>
    <row r="25" spans="1:18" ht="18.75" customHeight="1" x14ac:dyDescent="0.35">
      <c r="A25" s="145"/>
      <c r="B25" s="145" t="s">
        <v>10</v>
      </c>
      <c r="C25" s="271"/>
      <c r="D25" s="20">
        <f t="shared" si="35"/>
        <v>0</v>
      </c>
      <c r="E25" s="28">
        <f t="shared" si="36"/>
        <v>0</v>
      </c>
      <c r="F25" s="21"/>
      <c r="G25" s="81"/>
      <c r="H25" s="20">
        <f t="shared" si="37"/>
        <v>0</v>
      </c>
      <c r="I25" s="28">
        <f t="shared" si="38"/>
        <v>0</v>
      </c>
      <c r="J25" s="21"/>
      <c r="K25" s="82"/>
      <c r="L25" s="20">
        <f t="shared" si="39"/>
        <v>0</v>
      </c>
      <c r="M25" s="28">
        <f t="shared" si="40"/>
        <v>0</v>
      </c>
      <c r="N25" s="21"/>
      <c r="O25" s="22">
        <f t="shared" si="18"/>
        <v>0</v>
      </c>
      <c r="P25" s="22">
        <f t="shared" si="41"/>
        <v>0</v>
      </c>
      <c r="Q25" s="22">
        <f t="shared" si="42"/>
        <v>0</v>
      </c>
      <c r="R25" s="23"/>
    </row>
    <row r="26" spans="1:18" ht="18.75" customHeight="1" x14ac:dyDescent="0.35">
      <c r="A26" s="145" t="s">
        <v>16</v>
      </c>
      <c r="B26" s="145" t="s">
        <v>8</v>
      </c>
      <c r="C26" s="271"/>
      <c r="D26" s="20">
        <f>ROUND(C26/18,2)</f>
        <v>0</v>
      </c>
      <c r="E26" s="20"/>
      <c r="F26" s="21">
        <f>SUM(D26,E27:E28)</f>
        <v>0</v>
      </c>
      <c r="G26" s="81"/>
      <c r="H26" s="20">
        <f>ROUND(G26/18,2)</f>
        <v>0</v>
      </c>
      <c r="I26" s="20"/>
      <c r="J26" s="21">
        <f>SUM(H26,I27:I28)</f>
        <v>0</v>
      </c>
      <c r="K26" s="82"/>
      <c r="L26" s="20">
        <f>ROUND(K26/18,2)</f>
        <v>0</v>
      </c>
      <c r="M26" s="20"/>
      <c r="N26" s="21">
        <f>SUM(L26,M27:M28)</f>
        <v>0</v>
      </c>
      <c r="O26" s="22">
        <f t="shared" si="18"/>
        <v>0</v>
      </c>
      <c r="P26" s="22">
        <f>ROUND(O26/36,2)</f>
        <v>0</v>
      </c>
      <c r="Q26" s="22"/>
      <c r="R26" s="23">
        <f>SUM(P26,Q27:Q28)</f>
        <v>0</v>
      </c>
    </row>
    <row r="27" spans="1:18" ht="18.75" customHeight="1" x14ac:dyDescent="0.35">
      <c r="A27" s="145"/>
      <c r="B27" s="145" t="s">
        <v>9</v>
      </c>
      <c r="C27" s="271"/>
      <c r="D27" s="20">
        <f t="shared" ref="D27:D28" si="43">ROUND(C27/12,2)</f>
        <v>0</v>
      </c>
      <c r="E27" s="28">
        <f t="shared" ref="E27:E28" si="44">D27*1</f>
        <v>0</v>
      </c>
      <c r="F27" s="21"/>
      <c r="G27" s="81"/>
      <c r="H27" s="20">
        <f t="shared" ref="H27:H28" si="45">ROUND(G27/12,2)</f>
        <v>0</v>
      </c>
      <c r="I27" s="28">
        <f t="shared" ref="I27:I28" si="46">H27*1</f>
        <v>0</v>
      </c>
      <c r="J27" s="21"/>
      <c r="K27" s="82"/>
      <c r="L27" s="20">
        <f t="shared" ref="L27:L28" si="47">ROUND(K27/12,2)</f>
        <v>0</v>
      </c>
      <c r="M27" s="28">
        <f t="shared" ref="M27:M28" si="48">L27*1</f>
        <v>0</v>
      </c>
      <c r="N27" s="21"/>
      <c r="O27" s="22">
        <f t="shared" si="18"/>
        <v>0</v>
      </c>
      <c r="P27" s="22">
        <f t="shared" ref="P27:P28" si="49">ROUND(O27/24,2)</f>
        <v>0</v>
      </c>
      <c r="Q27" s="22">
        <f t="shared" ref="Q27:Q28" si="50">P27*1</f>
        <v>0</v>
      </c>
      <c r="R27" s="23"/>
    </row>
    <row r="28" spans="1:18" ht="18.75" customHeight="1" x14ac:dyDescent="0.35">
      <c r="A28" s="145"/>
      <c r="B28" s="145" t="s">
        <v>10</v>
      </c>
      <c r="C28" s="271"/>
      <c r="D28" s="20">
        <f t="shared" si="43"/>
        <v>0</v>
      </c>
      <c r="E28" s="28">
        <f t="shared" si="44"/>
        <v>0</v>
      </c>
      <c r="F28" s="21"/>
      <c r="G28" s="81"/>
      <c r="H28" s="20">
        <f t="shared" si="45"/>
        <v>0</v>
      </c>
      <c r="I28" s="28">
        <f t="shared" si="46"/>
        <v>0</v>
      </c>
      <c r="J28" s="21"/>
      <c r="K28" s="82"/>
      <c r="L28" s="20">
        <f t="shared" si="47"/>
        <v>0</v>
      </c>
      <c r="M28" s="28">
        <f t="shared" si="48"/>
        <v>0</v>
      </c>
      <c r="N28" s="21"/>
      <c r="O28" s="22">
        <f t="shared" si="18"/>
        <v>0</v>
      </c>
      <c r="P28" s="22">
        <f t="shared" si="49"/>
        <v>0</v>
      </c>
      <c r="Q28" s="22">
        <f t="shared" si="50"/>
        <v>0</v>
      </c>
      <c r="R28" s="23"/>
    </row>
    <row r="29" spans="1:18" ht="18.75" customHeight="1" x14ac:dyDescent="0.35">
      <c r="A29" s="145" t="s">
        <v>17</v>
      </c>
      <c r="B29" s="145" t="s">
        <v>8</v>
      </c>
      <c r="C29" s="271"/>
      <c r="D29" s="20">
        <f>ROUND(C29/18,2)</f>
        <v>0</v>
      </c>
      <c r="E29" s="20"/>
      <c r="F29" s="21">
        <f>SUM(D29,E30:E31)</f>
        <v>0</v>
      </c>
      <c r="G29" s="81"/>
      <c r="H29" s="20">
        <f>ROUND(G29/18,2)</f>
        <v>0</v>
      </c>
      <c r="I29" s="20"/>
      <c r="J29" s="21">
        <f>SUM(H29,I30:I31)</f>
        <v>0</v>
      </c>
      <c r="K29" s="82"/>
      <c r="L29" s="20">
        <f>ROUND(K29/18,2)</f>
        <v>0</v>
      </c>
      <c r="M29" s="20"/>
      <c r="N29" s="21">
        <f>SUM(L29,M30:M31)</f>
        <v>0</v>
      </c>
      <c r="O29" s="22">
        <f t="shared" si="18"/>
        <v>0</v>
      </c>
      <c r="P29" s="22">
        <f>ROUND(O29/36,2)</f>
        <v>0</v>
      </c>
      <c r="Q29" s="22"/>
      <c r="R29" s="23">
        <f>SUM(P29,Q30:Q31)</f>
        <v>0</v>
      </c>
    </row>
    <row r="30" spans="1:18" ht="18.75" customHeight="1" x14ac:dyDescent="0.35">
      <c r="A30" s="145"/>
      <c r="B30" s="145" t="s">
        <v>9</v>
      </c>
      <c r="C30" s="271"/>
      <c r="D30" s="20">
        <f t="shared" ref="D30:D31" si="51">ROUND(C30/12,2)</f>
        <v>0</v>
      </c>
      <c r="E30" s="28">
        <f t="shared" ref="E30:E31" si="52">D30*1</f>
        <v>0</v>
      </c>
      <c r="F30" s="21"/>
      <c r="G30" s="81"/>
      <c r="H30" s="20">
        <f t="shared" ref="H30:H31" si="53">ROUND(G30/12,2)</f>
        <v>0</v>
      </c>
      <c r="I30" s="28">
        <f t="shared" ref="I30:I31" si="54">H30*1</f>
        <v>0</v>
      </c>
      <c r="J30" s="21"/>
      <c r="K30" s="82"/>
      <c r="L30" s="20">
        <f t="shared" ref="L30:L31" si="55">ROUND(K30/12,2)</f>
        <v>0</v>
      </c>
      <c r="M30" s="28">
        <f t="shared" ref="M30:M31" si="56">L30*1</f>
        <v>0</v>
      </c>
      <c r="N30" s="21"/>
      <c r="O30" s="22">
        <f t="shared" si="18"/>
        <v>0</v>
      </c>
      <c r="P30" s="22">
        <f t="shared" ref="P30:P31" si="57">ROUND(O30/24,2)</f>
        <v>0</v>
      </c>
      <c r="Q30" s="22">
        <f t="shared" ref="Q30:Q31" si="58">P30*1</f>
        <v>0</v>
      </c>
      <c r="R30" s="23"/>
    </row>
    <row r="31" spans="1:18" ht="18.75" customHeight="1" x14ac:dyDescent="0.35">
      <c r="A31" s="145"/>
      <c r="B31" s="145" t="s">
        <v>10</v>
      </c>
      <c r="C31" s="271"/>
      <c r="D31" s="20">
        <f t="shared" si="51"/>
        <v>0</v>
      </c>
      <c r="E31" s="28">
        <f t="shared" si="52"/>
        <v>0</v>
      </c>
      <c r="F31" s="21"/>
      <c r="G31" s="81"/>
      <c r="H31" s="20">
        <f t="shared" si="53"/>
        <v>0</v>
      </c>
      <c r="I31" s="28">
        <f t="shared" si="54"/>
        <v>0</v>
      </c>
      <c r="J31" s="21"/>
      <c r="K31" s="82"/>
      <c r="L31" s="20">
        <f t="shared" si="55"/>
        <v>0</v>
      </c>
      <c r="M31" s="28">
        <f t="shared" si="56"/>
        <v>0</v>
      </c>
      <c r="N31" s="21"/>
      <c r="O31" s="22">
        <f t="shared" si="18"/>
        <v>0</v>
      </c>
      <c r="P31" s="22">
        <f t="shared" si="57"/>
        <v>0</v>
      </c>
      <c r="Q31" s="22">
        <f t="shared" si="58"/>
        <v>0</v>
      </c>
      <c r="R31" s="23"/>
    </row>
    <row r="32" spans="1:18" ht="18.75" customHeight="1" x14ac:dyDescent="0.35">
      <c r="A32" s="145" t="s">
        <v>18</v>
      </c>
      <c r="B32" s="145" t="s">
        <v>8</v>
      </c>
      <c r="C32" s="271"/>
      <c r="D32" s="20">
        <f>ROUND(C32/18,2)</f>
        <v>0</v>
      </c>
      <c r="E32" s="20"/>
      <c r="F32" s="21">
        <f>SUM(D32,E33:E34)</f>
        <v>0</v>
      </c>
      <c r="G32" s="81"/>
      <c r="H32" s="20">
        <f>ROUND(G32/18,2)</f>
        <v>0</v>
      </c>
      <c r="I32" s="20"/>
      <c r="J32" s="21">
        <f>SUM(H32,I33:I34)</f>
        <v>0</v>
      </c>
      <c r="K32" s="82"/>
      <c r="L32" s="20">
        <f>ROUND(K32/18,2)</f>
        <v>0</v>
      </c>
      <c r="M32" s="20"/>
      <c r="N32" s="21">
        <f>SUM(L32,M33:M34)</f>
        <v>0</v>
      </c>
      <c r="O32" s="22">
        <f t="shared" si="18"/>
        <v>0</v>
      </c>
      <c r="P32" s="22">
        <f>ROUND(O32/36,2)</f>
        <v>0</v>
      </c>
      <c r="Q32" s="22"/>
      <c r="R32" s="23">
        <f>SUM(P32,Q33:Q34)</f>
        <v>0</v>
      </c>
    </row>
    <row r="33" spans="1:18" ht="18.75" customHeight="1" x14ac:dyDescent="0.35">
      <c r="A33" s="145"/>
      <c r="B33" s="145" t="s">
        <v>9</v>
      </c>
      <c r="C33" s="271"/>
      <c r="D33" s="20">
        <f t="shared" ref="D33:D34" si="59">ROUND(C33/12,2)</f>
        <v>0</v>
      </c>
      <c r="E33" s="28">
        <f t="shared" ref="E33:E34" si="60">D33*1</f>
        <v>0</v>
      </c>
      <c r="F33" s="21"/>
      <c r="G33" s="81"/>
      <c r="H33" s="20">
        <f t="shared" ref="H33:H34" si="61">ROUND(G33/12,2)</f>
        <v>0</v>
      </c>
      <c r="I33" s="28">
        <f t="shared" ref="I33:I34" si="62">H33*1</f>
        <v>0</v>
      </c>
      <c r="J33" s="21"/>
      <c r="K33" s="82"/>
      <c r="L33" s="20">
        <f t="shared" ref="L33:L34" si="63">ROUND(K33/12,2)</f>
        <v>0</v>
      </c>
      <c r="M33" s="28">
        <f t="shared" ref="M33:M34" si="64">L33*1</f>
        <v>0</v>
      </c>
      <c r="N33" s="21"/>
      <c r="O33" s="22">
        <f t="shared" si="18"/>
        <v>0</v>
      </c>
      <c r="P33" s="22">
        <f t="shared" ref="P33:P34" si="65">ROUND(O33/24,2)</f>
        <v>0</v>
      </c>
      <c r="Q33" s="22">
        <f t="shared" ref="Q33:Q34" si="66">P33*1</f>
        <v>0</v>
      </c>
      <c r="R33" s="23"/>
    </row>
    <row r="34" spans="1:18" ht="18.75" customHeight="1" x14ac:dyDescent="0.35">
      <c r="A34" s="145"/>
      <c r="B34" s="145" t="s">
        <v>10</v>
      </c>
      <c r="C34" s="271"/>
      <c r="D34" s="20">
        <f t="shared" si="59"/>
        <v>0</v>
      </c>
      <c r="E34" s="28">
        <f t="shared" si="60"/>
        <v>0</v>
      </c>
      <c r="F34" s="21"/>
      <c r="G34" s="81"/>
      <c r="H34" s="20">
        <f t="shared" si="61"/>
        <v>0</v>
      </c>
      <c r="I34" s="28">
        <f t="shared" si="62"/>
        <v>0</v>
      </c>
      <c r="J34" s="21"/>
      <c r="K34" s="82"/>
      <c r="L34" s="20">
        <f t="shared" si="63"/>
        <v>0</v>
      </c>
      <c r="M34" s="28">
        <f t="shared" si="64"/>
        <v>0</v>
      </c>
      <c r="N34" s="21"/>
      <c r="O34" s="22">
        <f t="shared" si="18"/>
        <v>0</v>
      </c>
      <c r="P34" s="22">
        <f t="shared" si="65"/>
        <v>0</v>
      </c>
      <c r="Q34" s="22">
        <f t="shared" si="66"/>
        <v>0</v>
      </c>
      <c r="R34" s="23"/>
    </row>
    <row r="35" spans="1:18" ht="18.75" customHeight="1" x14ac:dyDescent="0.35">
      <c r="A35" s="145" t="s">
        <v>19</v>
      </c>
      <c r="B35" s="145" t="s">
        <v>8</v>
      </c>
      <c r="C35" s="271"/>
      <c r="D35" s="20">
        <f>ROUND(C35/18,2)</f>
        <v>0</v>
      </c>
      <c r="E35" s="20"/>
      <c r="F35" s="21">
        <f>SUM(D35,E36:E37)</f>
        <v>0</v>
      </c>
      <c r="G35" s="81"/>
      <c r="H35" s="20">
        <f>ROUND(G35/18,2)</f>
        <v>0</v>
      </c>
      <c r="I35" s="20"/>
      <c r="J35" s="21">
        <f>SUM(H35,I36:I37)</f>
        <v>0</v>
      </c>
      <c r="K35" s="82"/>
      <c r="L35" s="20">
        <f>ROUND(K35/18,2)</f>
        <v>0</v>
      </c>
      <c r="M35" s="20"/>
      <c r="N35" s="21">
        <f>SUM(L35,M36:M37)</f>
        <v>0</v>
      </c>
      <c r="O35" s="22">
        <f t="shared" si="18"/>
        <v>0</v>
      </c>
      <c r="P35" s="22">
        <f>ROUND(O35/36,2)</f>
        <v>0</v>
      </c>
      <c r="Q35" s="22"/>
      <c r="R35" s="23">
        <f>SUM(P35,Q36:Q37)</f>
        <v>0</v>
      </c>
    </row>
    <row r="36" spans="1:18" ht="18.75" customHeight="1" x14ac:dyDescent="0.35">
      <c r="A36" s="145"/>
      <c r="B36" s="145" t="s">
        <v>9</v>
      </c>
      <c r="C36" s="271"/>
      <c r="D36" s="20">
        <f t="shared" ref="D36:D37" si="67">ROUND(C36/12,2)</f>
        <v>0</v>
      </c>
      <c r="E36" s="28">
        <f t="shared" ref="E36:E37" si="68">D36*1</f>
        <v>0</v>
      </c>
      <c r="F36" s="21"/>
      <c r="G36" s="81"/>
      <c r="H36" s="20">
        <f t="shared" ref="H36:H37" si="69">ROUND(G36/12,2)</f>
        <v>0</v>
      </c>
      <c r="I36" s="28">
        <f t="shared" ref="I36:I37" si="70">H36*1</f>
        <v>0</v>
      </c>
      <c r="J36" s="21"/>
      <c r="K36" s="82"/>
      <c r="L36" s="20">
        <f t="shared" ref="L36:L37" si="71">ROUND(K36/12,2)</f>
        <v>0</v>
      </c>
      <c r="M36" s="28">
        <f t="shared" ref="M36:M37" si="72">L36*1</f>
        <v>0</v>
      </c>
      <c r="N36" s="21"/>
      <c r="O36" s="22">
        <f t="shared" si="18"/>
        <v>0</v>
      </c>
      <c r="P36" s="22">
        <f t="shared" ref="P36:P37" si="73">ROUND(O36/24,2)</f>
        <v>0</v>
      </c>
      <c r="Q36" s="22">
        <f t="shared" ref="Q36:Q37" si="74">P36*1</f>
        <v>0</v>
      </c>
      <c r="R36" s="23"/>
    </row>
    <row r="37" spans="1:18" ht="18.75" customHeight="1" x14ac:dyDescent="0.35">
      <c r="A37" s="145"/>
      <c r="B37" s="145" t="s">
        <v>10</v>
      </c>
      <c r="C37" s="271"/>
      <c r="D37" s="20">
        <f t="shared" si="67"/>
        <v>0</v>
      </c>
      <c r="E37" s="28">
        <f t="shared" si="68"/>
        <v>0</v>
      </c>
      <c r="F37" s="21"/>
      <c r="G37" s="81"/>
      <c r="H37" s="20">
        <f t="shared" si="69"/>
        <v>0</v>
      </c>
      <c r="I37" s="28">
        <f t="shared" si="70"/>
        <v>0</v>
      </c>
      <c r="J37" s="21"/>
      <c r="K37" s="82"/>
      <c r="L37" s="20">
        <f t="shared" si="71"/>
        <v>0</v>
      </c>
      <c r="M37" s="28">
        <f t="shared" si="72"/>
        <v>0</v>
      </c>
      <c r="N37" s="21"/>
      <c r="O37" s="22">
        <f t="shared" si="18"/>
        <v>0</v>
      </c>
      <c r="P37" s="22">
        <f t="shared" si="73"/>
        <v>0</v>
      </c>
      <c r="Q37" s="22">
        <f t="shared" si="74"/>
        <v>0</v>
      </c>
      <c r="R37" s="23"/>
    </row>
    <row r="38" spans="1:18" ht="18.75" customHeight="1" x14ac:dyDescent="0.35">
      <c r="A38" s="145" t="s">
        <v>20</v>
      </c>
      <c r="B38" s="145" t="s">
        <v>8</v>
      </c>
      <c r="C38" s="271"/>
      <c r="D38" s="20">
        <f>ROUND(C38/18,2)</f>
        <v>0</v>
      </c>
      <c r="E38" s="20"/>
      <c r="F38" s="21">
        <f>SUM(D38,E39:E40)</f>
        <v>0</v>
      </c>
      <c r="G38" s="81"/>
      <c r="H38" s="20">
        <f>ROUND(G38/18,2)</f>
        <v>0</v>
      </c>
      <c r="I38" s="20"/>
      <c r="J38" s="21">
        <f>SUM(H38,I39:I40)</f>
        <v>0</v>
      </c>
      <c r="K38" s="82"/>
      <c r="L38" s="20">
        <f>ROUND(K38/18,2)</f>
        <v>0</v>
      </c>
      <c r="M38" s="20"/>
      <c r="N38" s="21">
        <f>SUM(L38,M39:M40)</f>
        <v>0</v>
      </c>
      <c r="O38" s="22">
        <f t="shared" si="18"/>
        <v>0</v>
      </c>
      <c r="P38" s="22">
        <f>ROUND(O38/36,2)</f>
        <v>0</v>
      </c>
      <c r="Q38" s="22"/>
      <c r="R38" s="23">
        <f>SUM(P38,Q39:Q40)</f>
        <v>0</v>
      </c>
    </row>
    <row r="39" spans="1:18" ht="18.75" customHeight="1" x14ac:dyDescent="0.35">
      <c r="A39" s="145"/>
      <c r="B39" s="145" t="s">
        <v>9</v>
      </c>
      <c r="C39" s="271"/>
      <c r="D39" s="20">
        <f t="shared" ref="D39:D40" si="75">ROUND(C39/12,2)</f>
        <v>0</v>
      </c>
      <c r="E39" s="28">
        <f t="shared" ref="E39:E40" si="76">D39*1</f>
        <v>0</v>
      </c>
      <c r="F39" s="21"/>
      <c r="G39" s="81"/>
      <c r="H39" s="20">
        <f t="shared" ref="H39:H40" si="77">ROUND(G39/12,2)</f>
        <v>0</v>
      </c>
      <c r="I39" s="28">
        <f t="shared" ref="I39:I40" si="78">H39*1</f>
        <v>0</v>
      </c>
      <c r="J39" s="21"/>
      <c r="K39" s="82"/>
      <c r="L39" s="20">
        <f t="shared" ref="L39:L40" si="79">ROUND(K39/12,2)</f>
        <v>0</v>
      </c>
      <c r="M39" s="28">
        <f t="shared" ref="M39:M40" si="80">L39*1</f>
        <v>0</v>
      </c>
      <c r="N39" s="21"/>
      <c r="O39" s="22">
        <f t="shared" si="18"/>
        <v>0</v>
      </c>
      <c r="P39" s="22">
        <f t="shared" ref="P39:P40" si="81">ROUND(O39/24,2)</f>
        <v>0</v>
      </c>
      <c r="Q39" s="22">
        <f t="shared" ref="Q39:Q40" si="82">P39*1</f>
        <v>0</v>
      </c>
      <c r="R39" s="23"/>
    </row>
    <row r="40" spans="1:18" ht="18.75" customHeight="1" x14ac:dyDescent="0.35">
      <c r="A40" s="145"/>
      <c r="B40" s="145" t="s">
        <v>10</v>
      </c>
      <c r="C40" s="271"/>
      <c r="D40" s="20">
        <f t="shared" si="75"/>
        <v>0</v>
      </c>
      <c r="E40" s="28">
        <f t="shared" si="76"/>
        <v>0</v>
      </c>
      <c r="F40" s="21"/>
      <c r="G40" s="81"/>
      <c r="H40" s="20">
        <f t="shared" si="77"/>
        <v>0</v>
      </c>
      <c r="I40" s="28">
        <f t="shared" si="78"/>
        <v>0</v>
      </c>
      <c r="J40" s="21"/>
      <c r="K40" s="82"/>
      <c r="L40" s="20">
        <f t="shared" si="79"/>
        <v>0</v>
      </c>
      <c r="M40" s="28">
        <f t="shared" si="80"/>
        <v>0</v>
      </c>
      <c r="N40" s="21"/>
      <c r="O40" s="22">
        <f t="shared" si="18"/>
        <v>0</v>
      </c>
      <c r="P40" s="22">
        <f t="shared" si="81"/>
        <v>0</v>
      </c>
      <c r="Q40" s="22">
        <f t="shared" si="82"/>
        <v>0</v>
      </c>
      <c r="R40" s="23"/>
    </row>
    <row r="41" spans="1:18" ht="18.75" customHeight="1" x14ac:dyDescent="0.35">
      <c r="A41" s="145" t="s">
        <v>21</v>
      </c>
      <c r="B41" s="145" t="s">
        <v>8</v>
      </c>
      <c r="C41" s="271"/>
      <c r="D41" s="20">
        <f>ROUND(C41/18,2)</f>
        <v>0</v>
      </c>
      <c r="E41" s="20"/>
      <c r="F41" s="21">
        <f>SUM(D41,E42:E43)</f>
        <v>0</v>
      </c>
      <c r="G41" s="81"/>
      <c r="H41" s="20">
        <f>ROUND(G41/18,2)</f>
        <v>0</v>
      </c>
      <c r="I41" s="20"/>
      <c r="J41" s="21">
        <f>SUM(H41,I42:I43)</f>
        <v>0</v>
      </c>
      <c r="K41" s="82"/>
      <c r="L41" s="20">
        <f>ROUND(K41/18,2)</f>
        <v>0</v>
      </c>
      <c r="M41" s="20"/>
      <c r="N41" s="21">
        <f>SUM(L41,M42:M43)</f>
        <v>0</v>
      </c>
      <c r="O41" s="22">
        <f t="shared" si="18"/>
        <v>0</v>
      </c>
      <c r="P41" s="22">
        <f>ROUND(O41/36,2)</f>
        <v>0</v>
      </c>
      <c r="Q41" s="22"/>
      <c r="R41" s="23">
        <f>SUM(P41,Q42:Q43)</f>
        <v>0</v>
      </c>
    </row>
    <row r="42" spans="1:18" ht="18.75" customHeight="1" x14ac:dyDescent="0.35">
      <c r="A42" s="145"/>
      <c r="B42" s="145" t="s">
        <v>9</v>
      </c>
      <c r="C42" s="271"/>
      <c r="D42" s="20">
        <f t="shared" ref="D42:D43" si="83">ROUND(C42/12,2)</f>
        <v>0</v>
      </c>
      <c r="E42" s="28">
        <f t="shared" ref="E42:E43" si="84">D42*1</f>
        <v>0</v>
      </c>
      <c r="F42" s="21"/>
      <c r="G42" s="81"/>
      <c r="H42" s="20">
        <f t="shared" ref="H42:H43" si="85">ROUND(G42/12,2)</f>
        <v>0</v>
      </c>
      <c r="I42" s="28">
        <f t="shared" ref="I42:I43" si="86">H42*1</f>
        <v>0</v>
      </c>
      <c r="J42" s="21"/>
      <c r="K42" s="82"/>
      <c r="L42" s="20">
        <f t="shared" ref="L42:L43" si="87">ROUND(K42/12,2)</f>
        <v>0</v>
      </c>
      <c r="M42" s="28">
        <f t="shared" ref="M42:M43" si="88">L42*1</f>
        <v>0</v>
      </c>
      <c r="N42" s="21"/>
      <c r="O42" s="22">
        <f t="shared" si="18"/>
        <v>0</v>
      </c>
      <c r="P42" s="22">
        <f t="shared" ref="P42:P43" si="89">ROUND(O42/24,2)</f>
        <v>0</v>
      </c>
      <c r="Q42" s="22">
        <f t="shared" ref="Q42:Q43" si="90">P42*1</f>
        <v>0</v>
      </c>
      <c r="R42" s="23"/>
    </row>
    <row r="43" spans="1:18" ht="18.75" customHeight="1" x14ac:dyDescent="0.35">
      <c r="A43" s="145"/>
      <c r="B43" s="145" t="s">
        <v>10</v>
      </c>
      <c r="C43" s="271"/>
      <c r="D43" s="20">
        <f t="shared" si="83"/>
        <v>0</v>
      </c>
      <c r="E43" s="28">
        <f t="shared" si="84"/>
        <v>0</v>
      </c>
      <c r="F43" s="21"/>
      <c r="G43" s="81"/>
      <c r="H43" s="20">
        <f t="shared" si="85"/>
        <v>0</v>
      </c>
      <c r="I43" s="28">
        <f t="shared" si="86"/>
        <v>0</v>
      </c>
      <c r="J43" s="21"/>
      <c r="K43" s="82"/>
      <c r="L43" s="20">
        <f t="shared" si="87"/>
        <v>0</v>
      </c>
      <c r="M43" s="28">
        <f t="shared" si="88"/>
        <v>0</v>
      </c>
      <c r="N43" s="21"/>
      <c r="O43" s="22">
        <f t="shared" si="18"/>
        <v>0</v>
      </c>
      <c r="P43" s="22">
        <f t="shared" si="89"/>
        <v>0</v>
      </c>
      <c r="Q43" s="22">
        <f t="shared" si="90"/>
        <v>0</v>
      </c>
      <c r="R43" s="23"/>
    </row>
    <row r="44" spans="1:18" ht="18.75" customHeight="1" x14ac:dyDescent="0.35">
      <c r="A44" s="173" t="s">
        <v>22</v>
      </c>
      <c r="B44" s="151" t="s">
        <v>8</v>
      </c>
      <c r="C44" s="93">
        <f>SUMIF($B$16:$B$43,"ปริญญาตรี",C16:C43)</f>
        <v>446</v>
      </c>
      <c r="D44" s="32">
        <f>ROUND(C44/18,2)</f>
        <v>24.78</v>
      </c>
      <c r="E44" s="32"/>
      <c r="F44" s="33">
        <f>SUM(D44,E45:E46)</f>
        <v>24.78</v>
      </c>
      <c r="G44" s="93">
        <f>SUMIF($B$16:$B$43,"ปริญญาตรี",G16:G43)</f>
        <v>38</v>
      </c>
      <c r="H44" s="32">
        <f>ROUND(G44/18,2)</f>
        <v>2.11</v>
      </c>
      <c r="I44" s="32"/>
      <c r="J44" s="33">
        <f>SUM(H44,I45:I46)</f>
        <v>2.11</v>
      </c>
      <c r="K44" s="93">
        <f>SUMIF($B$16:$B$43,"ปริญญาตรี",K16:K43)</f>
        <v>0</v>
      </c>
      <c r="L44" s="32">
        <f>ROUND(K44/18,2)</f>
        <v>0</v>
      </c>
      <c r="M44" s="32"/>
      <c r="N44" s="33">
        <f>SUM(L44,M45:M46)</f>
        <v>0</v>
      </c>
      <c r="O44" s="136">
        <f t="shared" si="18"/>
        <v>484</v>
      </c>
      <c r="P44" s="34">
        <f>ROUND(O44/36,2)</f>
        <v>13.44</v>
      </c>
      <c r="Q44" s="34"/>
      <c r="R44" s="23">
        <f>SUM(P44,Q45:Q46)</f>
        <v>13.44</v>
      </c>
    </row>
    <row r="45" spans="1:18" ht="18.75" customHeight="1" x14ac:dyDescent="0.35">
      <c r="A45" s="174" t="s">
        <v>22</v>
      </c>
      <c r="B45" s="151" t="s">
        <v>9</v>
      </c>
      <c r="C45" s="93">
        <f>SUMIF($B$16:$B$43,"ปริญญาโท",C16:C43)</f>
        <v>0</v>
      </c>
      <c r="D45" s="32">
        <f t="shared" ref="D45:D46" si="91">ROUND(C45/12,2)</f>
        <v>0</v>
      </c>
      <c r="E45" s="32">
        <f t="shared" ref="E45:E46" si="92">D45*1</f>
        <v>0</v>
      </c>
      <c r="F45" s="33"/>
      <c r="G45" s="93">
        <f>SUMIF($B$16:$B$43,"ปริญญาโท",G16:G43)</f>
        <v>0</v>
      </c>
      <c r="H45" s="32">
        <f t="shared" ref="H45:H46" si="93">ROUND(G45/12,2)</f>
        <v>0</v>
      </c>
      <c r="I45" s="32">
        <f t="shared" ref="I45:I46" si="94">H45*1</f>
        <v>0</v>
      </c>
      <c r="J45" s="33"/>
      <c r="K45" s="93">
        <f>SUMIF($B$16:$B$43,"ปริญญาโท",K16:K43)</f>
        <v>0</v>
      </c>
      <c r="L45" s="32">
        <f t="shared" ref="L45:L46" si="95">ROUND(K45/12,2)</f>
        <v>0</v>
      </c>
      <c r="M45" s="32">
        <f t="shared" ref="M45:M46" si="96">L45*1</f>
        <v>0</v>
      </c>
      <c r="N45" s="33"/>
      <c r="O45" s="22">
        <f t="shared" si="18"/>
        <v>0</v>
      </c>
      <c r="P45" s="34">
        <f t="shared" ref="P45:P46" si="97">ROUND(O45/24,2)</f>
        <v>0</v>
      </c>
      <c r="Q45" s="34">
        <f t="shared" ref="Q45:Q46" si="98">P45*1</f>
        <v>0</v>
      </c>
      <c r="R45" s="23"/>
    </row>
    <row r="46" spans="1:18" ht="18.75" customHeight="1" thickBot="1" x14ac:dyDescent="0.4">
      <c r="A46" s="175" t="s">
        <v>22</v>
      </c>
      <c r="B46" s="152" t="s">
        <v>10</v>
      </c>
      <c r="C46" s="94">
        <f>SUMIF($B$16:$B$43,"ปริญญาเอก",C16:C43)</f>
        <v>0</v>
      </c>
      <c r="D46" s="35">
        <f t="shared" si="91"/>
        <v>0</v>
      </c>
      <c r="E46" s="35">
        <f t="shared" si="92"/>
        <v>0</v>
      </c>
      <c r="F46" s="36"/>
      <c r="G46" s="94">
        <f>SUMIF($B$16:$B$43,"ปริญญาเอก",G16:G43)</f>
        <v>0</v>
      </c>
      <c r="H46" s="35">
        <f t="shared" si="93"/>
        <v>0</v>
      </c>
      <c r="I46" s="35">
        <f t="shared" si="94"/>
        <v>0</v>
      </c>
      <c r="J46" s="36"/>
      <c r="K46" s="94">
        <f>SUMIF($B$16:$B$43,"ปริญญาเอก",K16:K43)</f>
        <v>0</v>
      </c>
      <c r="L46" s="35">
        <f t="shared" si="95"/>
        <v>0</v>
      </c>
      <c r="M46" s="35">
        <f t="shared" si="96"/>
        <v>0</v>
      </c>
      <c r="N46" s="36"/>
      <c r="O46" s="92">
        <f t="shared" si="18"/>
        <v>0</v>
      </c>
      <c r="P46" s="37">
        <f t="shared" si="97"/>
        <v>0</v>
      </c>
      <c r="Q46" s="37">
        <f t="shared" si="98"/>
        <v>0</v>
      </c>
      <c r="R46" s="27"/>
    </row>
    <row r="47" spans="1:18" ht="18.75" customHeight="1" x14ac:dyDescent="0.35">
      <c r="A47" s="148" t="s">
        <v>23</v>
      </c>
      <c r="B47" s="149"/>
      <c r="C47" s="80"/>
      <c r="D47" s="28"/>
      <c r="E47" s="28"/>
      <c r="F47" s="29"/>
      <c r="G47" s="79"/>
      <c r="H47" s="28"/>
      <c r="I47" s="28"/>
      <c r="J47" s="29"/>
      <c r="K47" s="80"/>
      <c r="L47" s="28"/>
      <c r="M47" s="28"/>
      <c r="N47" s="29"/>
      <c r="O47" s="66"/>
      <c r="P47" s="30"/>
      <c r="Q47" s="30"/>
      <c r="R47" s="31"/>
    </row>
    <row r="48" spans="1:18" ht="18.75" customHeight="1" x14ac:dyDescent="0.35">
      <c r="A48" s="145" t="s">
        <v>7</v>
      </c>
      <c r="B48" s="145" t="s">
        <v>8</v>
      </c>
      <c r="C48" s="271">
        <v>73</v>
      </c>
      <c r="D48" s="20">
        <f>ROUND(C48/18,2)</f>
        <v>4.0599999999999996</v>
      </c>
      <c r="E48" s="20"/>
      <c r="F48" s="21">
        <f>SUM(D48,E49:E50)</f>
        <v>4.0599999999999996</v>
      </c>
      <c r="G48" s="81">
        <v>102</v>
      </c>
      <c r="H48" s="20">
        <f>ROUND(G48/18,2)</f>
        <v>5.67</v>
      </c>
      <c r="I48" s="20"/>
      <c r="J48" s="21">
        <f>SUM(H48,I49:I50)</f>
        <v>5.67</v>
      </c>
      <c r="K48" s="82"/>
      <c r="L48" s="20">
        <f>ROUND(K48/18,2)</f>
        <v>0</v>
      </c>
      <c r="M48" s="20"/>
      <c r="N48" s="21">
        <f>SUM(L48,M49:M50)</f>
        <v>0</v>
      </c>
      <c r="O48" s="22">
        <f t="shared" ref="O48:O50" si="99">SUMIF($C$3:$N$3,"SCH",C48:N48)</f>
        <v>175</v>
      </c>
      <c r="P48" s="22">
        <f>ROUND(O48/36,2)</f>
        <v>4.8600000000000003</v>
      </c>
      <c r="Q48" s="22"/>
      <c r="R48" s="23">
        <f>SUM(P48,Q49:Q50)</f>
        <v>4.8600000000000003</v>
      </c>
    </row>
    <row r="49" spans="1:18" ht="18.75" customHeight="1" x14ac:dyDescent="0.35">
      <c r="A49" s="163"/>
      <c r="B49" s="145" t="s">
        <v>9</v>
      </c>
      <c r="C49" s="271"/>
      <c r="D49" s="20">
        <f t="shared" ref="D49:D50" si="100">ROUND(C49/12,2)</f>
        <v>0</v>
      </c>
      <c r="E49" s="20">
        <f t="shared" ref="E49:E50" si="101">D49*2</f>
        <v>0</v>
      </c>
      <c r="F49" s="21"/>
      <c r="G49" s="81"/>
      <c r="H49" s="20">
        <f t="shared" ref="H49:H50" si="102">ROUND(G49/12,2)</f>
        <v>0</v>
      </c>
      <c r="I49" s="20">
        <f t="shared" ref="I49:I50" si="103">H49*2</f>
        <v>0</v>
      </c>
      <c r="J49" s="21"/>
      <c r="K49" s="82"/>
      <c r="L49" s="20">
        <f t="shared" ref="L49:L50" si="104">ROUND(K49/12,2)</f>
        <v>0</v>
      </c>
      <c r="M49" s="20">
        <f t="shared" ref="M49:M50" si="105">L49*2</f>
        <v>0</v>
      </c>
      <c r="N49" s="21"/>
      <c r="O49" s="22">
        <f t="shared" si="99"/>
        <v>0</v>
      </c>
      <c r="P49" s="22">
        <f t="shared" ref="P49:P50" si="106">ROUND(O49/24,2)</f>
        <v>0</v>
      </c>
      <c r="Q49" s="22">
        <f t="shared" ref="Q49:Q50" si="107">P49*2</f>
        <v>0</v>
      </c>
      <c r="R49" s="23"/>
    </row>
    <row r="50" spans="1:18" ht="18.75" customHeight="1" thickBot="1" x14ac:dyDescent="0.4">
      <c r="A50" s="164"/>
      <c r="B50" s="146" t="s">
        <v>10</v>
      </c>
      <c r="C50" s="272"/>
      <c r="D50" s="24">
        <f t="shared" si="100"/>
        <v>0</v>
      </c>
      <c r="E50" s="24">
        <f t="shared" si="101"/>
        <v>0</v>
      </c>
      <c r="F50" s="25"/>
      <c r="G50" s="83"/>
      <c r="H50" s="24">
        <f t="shared" si="102"/>
        <v>0</v>
      </c>
      <c r="I50" s="24">
        <f t="shared" si="103"/>
        <v>0</v>
      </c>
      <c r="J50" s="25"/>
      <c r="K50" s="84"/>
      <c r="L50" s="24">
        <f t="shared" si="104"/>
        <v>0</v>
      </c>
      <c r="M50" s="24">
        <f t="shared" si="105"/>
        <v>0</v>
      </c>
      <c r="N50" s="25"/>
      <c r="O50" s="92">
        <f t="shared" si="99"/>
        <v>0</v>
      </c>
      <c r="P50" s="26">
        <f t="shared" si="106"/>
        <v>0</v>
      </c>
      <c r="Q50" s="26">
        <f t="shared" si="107"/>
        <v>0</v>
      </c>
      <c r="R50" s="27"/>
    </row>
    <row r="51" spans="1:18" ht="18.75" customHeight="1" x14ac:dyDescent="0.35">
      <c r="A51" s="148" t="s">
        <v>24</v>
      </c>
      <c r="B51" s="149"/>
      <c r="C51" s="274"/>
      <c r="D51" s="28"/>
      <c r="E51" s="28"/>
      <c r="F51" s="29"/>
      <c r="G51" s="79"/>
      <c r="H51" s="28"/>
      <c r="I51" s="28"/>
      <c r="J51" s="29"/>
      <c r="K51" s="80"/>
      <c r="L51" s="28"/>
      <c r="M51" s="28"/>
      <c r="N51" s="29"/>
      <c r="O51" s="66"/>
      <c r="P51" s="30"/>
      <c r="Q51" s="30"/>
      <c r="R51" s="31"/>
    </row>
    <row r="52" spans="1:18" ht="18.75" customHeight="1" x14ac:dyDescent="0.35">
      <c r="A52" s="145" t="s">
        <v>7</v>
      </c>
      <c r="B52" s="145" t="s">
        <v>8</v>
      </c>
      <c r="C52" s="271">
        <v>543</v>
      </c>
      <c r="D52" s="20">
        <f>ROUND(C52/18,2)</f>
        <v>30.17</v>
      </c>
      <c r="E52" s="20"/>
      <c r="F52" s="21">
        <f>SUM(D52,E53:E54)</f>
        <v>30.17</v>
      </c>
      <c r="G52" s="81">
        <v>38</v>
      </c>
      <c r="H52" s="20">
        <f>ROUND(G52/18,2)</f>
        <v>2.11</v>
      </c>
      <c r="I52" s="20"/>
      <c r="J52" s="21">
        <f>SUM(H52,I53:I54)</f>
        <v>2.11</v>
      </c>
      <c r="K52" s="82"/>
      <c r="L52" s="20">
        <f>ROUND(K52/18,2)</f>
        <v>0</v>
      </c>
      <c r="M52" s="20"/>
      <c r="N52" s="21">
        <f>SUM(L52,M53:M54)</f>
        <v>0</v>
      </c>
      <c r="O52" s="22">
        <f t="shared" ref="O52:O54" si="108">SUMIF($C$3:$N$3,"SCH",C52:N52)</f>
        <v>581</v>
      </c>
      <c r="P52" s="22">
        <f>ROUND(O52/36,2)</f>
        <v>16.14</v>
      </c>
      <c r="Q52" s="22"/>
      <c r="R52" s="23">
        <f>SUM(P52,Q53:Q54)</f>
        <v>16.14</v>
      </c>
    </row>
    <row r="53" spans="1:18" ht="18.75" customHeight="1" x14ac:dyDescent="0.35">
      <c r="A53" s="163"/>
      <c r="B53" s="145" t="s">
        <v>9</v>
      </c>
      <c r="C53" s="271"/>
      <c r="D53" s="20">
        <f t="shared" ref="D53:D54" si="109">ROUND(C53/12,2)</f>
        <v>0</v>
      </c>
      <c r="E53" s="20">
        <f t="shared" ref="E53:E54" si="110">D53*1</f>
        <v>0</v>
      </c>
      <c r="F53" s="21"/>
      <c r="G53" s="81"/>
      <c r="H53" s="20">
        <f t="shared" ref="H53:H54" si="111">ROUND(G53/12,2)</f>
        <v>0</v>
      </c>
      <c r="I53" s="20">
        <f t="shared" ref="I53:I54" si="112">H53*1</f>
        <v>0</v>
      </c>
      <c r="J53" s="21"/>
      <c r="K53" s="82"/>
      <c r="L53" s="20">
        <f t="shared" ref="L53:L54" si="113">ROUND(K53/12,2)</f>
        <v>0</v>
      </c>
      <c r="M53" s="20">
        <f t="shared" ref="M53:M54" si="114">L53*1</f>
        <v>0</v>
      </c>
      <c r="N53" s="21"/>
      <c r="O53" s="22">
        <f t="shared" si="108"/>
        <v>0</v>
      </c>
      <c r="P53" s="22">
        <f t="shared" ref="P53:P54" si="115">ROUND(O53/24,2)</f>
        <v>0</v>
      </c>
      <c r="Q53" s="22">
        <f t="shared" ref="Q53:Q54" si="116">P53*1</f>
        <v>0</v>
      </c>
      <c r="R53" s="23"/>
    </row>
    <row r="54" spans="1:18" ht="18.75" customHeight="1" thickBot="1" x14ac:dyDescent="0.4">
      <c r="A54" s="164"/>
      <c r="B54" s="146" t="s">
        <v>10</v>
      </c>
      <c r="C54" s="272"/>
      <c r="D54" s="24">
        <f t="shared" si="109"/>
        <v>0</v>
      </c>
      <c r="E54" s="24">
        <f t="shared" si="110"/>
        <v>0</v>
      </c>
      <c r="F54" s="25"/>
      <c r="G54" s="83"/>
      <c r="H54" s="24">
        <f t="shared" si="111"/>
        <v>0</v>
      </c>
      <c r="I54" s="24">
        <f t="shared" si="112"/>
        <v>0</v>
      </c>
      <c r="J54" s="25"/>
      <c r="K54" s="84"/>
      <c r="L54" s="24">
        <f t="shared" si="113"/>
        <v>0</v>
      </c>
      <c r="M54" s="24">
        <f t="shared" si="114"/>
        <v>0</v>
      </c>
      <c r="N54" s="25"/>
      <c r="O54" s="92">
        <f t="shared" si="108"/>
        <v>0</v>
      </c>
      <c r="P54" s="26">
        <f t="shared" si="115"/>
        <v>0</v>
      </c>
      <c r="Q54" s="26">
        <f t="shared" si="116"/>
        <v>0</v>
      </c>
      <c r="R54" s="27"/>
    </row>
    <row r="55" spans="1:18" ht="18.75" customHeight="1" x14ac:dyDescent="0.35">
      <c r="A55" s="148" t="s">
        <v>25</v>
      </c>
      <c r="B55" s="149"/>
      <c r="C55" s="274"/>
      <c r="D55" s="28"/>
      <c r="E55" s="28"/>
      <c r="F55" s="29"/>
      <c r="G55" s="79"/>
      <c r="H55" s="28"/>
      <c r="I55" s="28"/>
      <c r="J55" s="29"/>
      <c r="K55" s="80"/>
      <c r="L55" s="28"/>
      <c r="M55" s="28"/>
      <c r="N55" s="29"/>
      <c r="O55" s="30"/>
      <c r="P55" s="30"/>
      <c r="Q55" s="30"/>
      <c r="R55" s="31"/>
    </row>
    <row r="56" spans="1:18" ht="18.75" customHeight="1" x14ac:dyDescent="0.35">
      <c r="A56" s="145" t="s">
        <v>26</v>
      </c>
      <c r="B56" s="145" t="s">
        <v>8</v>
      </c>
      <c r="C56" s="271">
        <v>192</v>
      </c>
      <c r="D56" s="20">
        <f>ROUND(C56/18,2)</f>
        <v>10.67</v>
      </c>
      <c r="E56" s="20"/>
      <c r="F56" s="21">
        <f>SUM(D56,E57:E58)</f>
        <v>10.67</v>
      </c>
      <c r="G56" s="81">
        <v>241</v>
      </c>
      <c r="H56" s="20">
        <f>ROUND(G56/18,2)</f>
        <v>13.39</v>
      </c>
      <c r="I56" s="20"/>
      <c r="J56" s="21">
        <f>SUM(H56,I57:I58)</f>
        <v>13.39</v>
      </c>
      <c r="K56" s="82"/>
      <c r="L56" s="20">
        <f>ROUND(K56/18,2)</f>
        <v>0</v>
      </c>
      <c r="M56" s="20"/>
      <c r="N56" s="21">
        <f>SUM(L56,M57:M58)</f>
        <v>0</v>
      </c>
      <c r="O56" s="22">
        <f t="shared" ref="O56:O91" si="117">SUMIF($C$3:$N$3,"SCH",C56:N56)</f>
        <v>433</v>
      </c>
      <c r="P56" s="22">
        <f>ROUND(O56/36,2)</f>
        <v>12.03</v>
      </c>
      <c r="Q56" s="22"/>
      <c r="R56" s="23">
        <f>SUM(P56,Q57:Q58)</f>
        <v>12.03</v>
      </c>
    </row>
    <row r="57" spans="1:18" ht="18.75" customHeight="1" x14ac:dyDescent="0.35">
      <c r="A57" s="145"/>
      <c r="B57" s="145" t="s">
        <v>9</v>
      </c>
      <c r="C57" s="271"/>
      <c r="D57" s="20">
        <f t="shared" ref="D57:D58" si="118">ROUND(C57/12,2)</f>
        <v>0</v>
      </c>
      <c r="E57" s="20">
        <f t="shared" ref="E57:E58" si="119">D57*1.8</f>
        <v>0</v>
      </c>
      <c r="F57" s="21"/>
      <c r="G57" s="81"/>
      <c r="H57" s="20">
        <f t="shared" ref="H57:H58" si="120">ROUND(G57/12,2)</f>
        <v>0</v>
      </c>
      <c r="I57" s="20">
        <f t="shared" ref="I57:I58" si="121">H57*1.8</f>
        <v>0</v>
      </c>
      <c r="J57" s="21"/>
      <c r="K57" s="82"/>
      <c r="L57" s="20">
        <f t="shared" ref="L57:L58" si="122">ROUND(K57/12,2)</f>
        <v>0</v>
      </c>
      <c r="M57" s="20">
        <f t="shared" ref="M57:M58" si="123">L57*1.8</f>
        <v>0</v>
      </c>
      <c r="N57" s="21"/>
      <c r="O57" s="22">
        <f t="shared" si="117"/>
        <v>0</v>
      </c>
      <c r="P57" s="22">
        <f t="shared" ref="P57:P58" si="124">ROUND(O57/24,2)</f>
        <v>0</v>
      </c>
      <c r="Q57" s="22">
        <f t="shared" ref="Q57:Q58" si="125">P57*1.8</f>
        <v>0</v>
      </c>
      <c r="R57" s="23"/>
    </row>
    <row r="58" spans="1:18" ht="18.75" customHeight="1" x14ac:dyDescent="0.35">
      <c r="A58" s="145"/>
      <c r="B58" s="145" t="s">
        <v>10</v>
      </c>
      <c r="C58" s="271"/>
      <c r="D58" s="20">
        <f t="shared" si="118"/>
        <v>0</v>
      </c>
      <c r="E58" s="20">
        <f t="shared" si="119"/>
        <v>0</v>
      </c>
      <c r="F58" s="21"/>
      <c r="G58" s="81"/>
      <c r="H58" s="20">
        <f t="shared" si="120"/>
        <v>0</v>
      </c>
      <c r="I58" s="20">
        <f t="shared" si="121"/>
        <v>0</v>
      </c>
      <c r="J58" s="21"/>
      <c r="K58" s="82"/>
      <c r="L58" s="20">
        <f t="shared" si="122"/>
        <v>0</v>
      </c>
      <c r="M58" s="20">
        <f t="shared" si="123"/>
        <v>0</v>
      </c>
      <c r="N58" s="21"/>
      <c r="O58" s="22">
        <f t="shared" si="117"/>
        <v>0</v>
      </c>
      <c r="P58" s="22">
        <f t="shared" si="124"/>
        <v>0</v>
      </c>
      <c r="Q58" s="22">
        <f t="shared" si="125"/>
        <v>0</v>
      </c>
      <c r="R58" s="23"/>
    </row>
    <row r="59" spans="1:18" ht="18.75" customHeight="1" x14ac:dyDescent="0.35">
      <c r="A59" s="145" t="s">
        <v>27</v>
      </c>
      <c r="B59" s="145" t="s">
        <v>8</v>
      </c>
      <c r="C59" s="271">
        <v>0</v>
      </c>
      <c r="D59" s="20">
        <f>ROUND(C59/18,2)</f>
        <v>0</v>
      </c>
      <c r="E59" s="20"/>
      <c r="F59" s="21">
        <f>SUM(D59,E60:E61)</f>
        <v>10.8</v>
      </c>
      <c r="G59" s="81"/>
      <c r="H59" s="20">
        <f>ROUND(G59/18,2)</f>
        <v>0</v>
      </c>
      <c r="I59" s="20"/>
      <c r="J59" s="21">
        <f>SUM(H59,I60:I61)</f>
        <v>10.35</v>
      </c>
      <c r="K59" s="82"/>
      <c r="L59" s="20">
        <f>ROUND(K59/18,2)</f>
        <v>0</v>
      </c>
      <c r="M59" s="20"/>
      <c r="N59" s="21">
        <f>SUM(L59,M60:M61)</f>
        <v>0</v>
      </c>
      <c r="O59" s="22">
        <f t="shared" si="117"/>
        <v>0</v>
      </c>
      <c r="P59" s="22">
        <f>ROUND(O59/36,2)</f>
        <v>0</v>
      </c>
      <c r="Q59" s="22"/>
      <c r="R59" s="23">
        <f>SUM(P59,Q60:Q61)</f>
        <v>10.584</v>
      </c>
    </row>
    <row r="60" spans="1:18" ht="18.75" customHeight="1" x14ac:dyDescent="0.35">
      <c r="A60" s="145"/>
      <c r="B60" s="145" t="s">
        <v>9</v>
      </c>
      <c r="C60" s="271">
        <v>72</v>
      </c>
      <c r="D60" s="20">
        <f t="shared" ref="D60:D61" si="126">ROUND(C60/12,2)</f>
        <v>6</v>
      </c>
      <c r="E60" s="20">
        <f t="shared" ref="E60:E61" si="127">D60*1.8</f>
        <v>10.8</v>
      </c>
      <c r="F60" s="21"/>
      <c r="G60" s="81">
        <v>69</v>
      </c>
      <c r="H60" s="20">
        <f t="shared" ref="H60:H61" si="128">ROUND(G60/12,2)</f>
        <v>5.75</v>
      </c>
      <c r="I60" s="20">
        <f t="shared" ref="I60:I61" si="129">H60*1.8</f>
        <v>10.35</v>
      </c>
      <c r="J60" s="21"/>
      <c r="K60" s="82"/>
      <c r="L60" s="20">
        <f t="shared" ref="L60:L61" si="130">ROUND(K60/12,2)</f>
        <v>0</v>
      </c>
      <c r="M60" s="20">
        <f t="shared" ref="M60:M61" si="131">L60*1.8</f>
        <v>0</v>
      </c>
      <c r="N60" s="21"/>
      <c r="O60" s="22">
        <f t="shared" si="117"/>
        <v>141</v>
      </c>
      <c r="P60" s="22">
        <f t="shared" ref="P60:P61" si="132">ROUND(O60/24,2)</f>
        <v>5.88</v>
      </c>
      <c r="Q60" s="22">
        <f t="shared" ref="Q60:Q61" si="133">P60*1.8</f>
        <v>10.584</v>
      </c>
      <c r="R60" s="23"/>
    </row>
    <row r="61" spans="1:18" ht="18.75" customHeight="1" x14ac:dyDescent="0.35">
      <c r="A61" s="145"/>
      <c r="B61" s="145" t="s">
        <v>10</v>
      </c>
      <c r="C61" s="271"/>
      <c r="D61" s="20">
        <f t="shared" si="126"/>
        <v>0</v>
      </c>
      <c r="E61" s="20">
        <f t="shared" si="127"/>
        <v>0</v>
      </c>
      <c r="F61" s="21"/>
      <c r="G61" s="81"/>
      <c r="H61" s="20">
        <f t="shared" si="128"/>
        <v>0</v>
      </c>
      <c r="I61" s="20">
        <f t="shared" si="129"/>
        <v>0</v>
      </c>
      <c r="J61" s="21"/>
      <c r="K61" s="82"/>
      <c r="L61" s="20">
        <f t="shared" si="130"/>
        <v>0</v>
      </c>
      <c r="M61" s="20">
        <f t="shared" si="131"/>
        <v>0</v>
      </c>
      <c r="N61" s="21"/>
      <c r="O61" s="22">
        <f t="shared" si="117"/>
        <v>0</v>
      </c>
      <c r="P61" s="22">
        <f t="shared" si="132"/>
        <v>0</v>
      </c>
      <c r="Q61" s="22">
        <f t="shared" si="133"/>
        <v>0</v>
      </c>
      <c r="R61" s="23"/>
    </row>
    <row r="62" spans="1:18" ht="18.75" customHeight="1" x14ac:dyDescent="0.35">
      <c r="A62" s="145" t="s">
        <v>28</v>
      </c>
      <c r="B62" s="145" t="s">
        <v>8</v>
      </c>
      <c r="C62" s="271">
        <v>150</v>
      </c>
      <c r="D62" s="20">
        <f>ROUND(C62/18,2)</f>
        <v>8.33</v>
      </c>
      <c r="E62" s="20"/>
      <c r="F62" s="21">
        <f>SUM(D62,E63:E64)</f>
        <v>8.33</v>
      </c>
      <c r="G62" s="81">
        <v>69</v>
      </c>
      <c r="H62" s="20">
        <f>ROUND(G62/18,2)</f>
        <v>3.83</v>
      </c>
      <c r="I62" s="20"/>
      <c r="J62" s="21">
        <f>SUM(H62,I63:I64)</f>
        <v>3.83</v>
      </c>
      <c r="K62" s="82"/>
      <c r="L62" s="20">
        <f>ROUND(K62/18,2)</f>
        <v>0</v>
      </c>
      <c r="M62" s="20"/>
      <c r="N62" s="21">
        <f>SUM(L62,M63:M64)</f>
        <v>0</v>
      </c>
      <c r="O62" s="22">
        <f t="shared" si="117"/>
        <v>219</v>
      </c>
      <c r="P62" s="22">
        <f>ROUND(O62/36,2)</f>
        <v>6.08</v>
      </c>
      <c r="Q62" s="22"/>
      <c r="R62" s="23">
        <f>SUM(P62,Q63:Q64)</f>
        <v>6.08</v>
      </c>
    </row>
    <row r="63" spans="1:18" ht="18.75" customHeight="1" x14ac:dyDescent="0.35">
      <c r="A63" s="145"/>
      <c r="B63" s="145" t="s">
        <v>9</v>
      </c>
      <c r="C63" s="271"/>
      <c r="D63" s="20">
        <f t="shared" ref="D63:D64" si="134">ROUND(C63/12,2)</f>
        <v>0</v>
      </c>
      <c r="E63" s="20">
        <f t="shared" ref="E63:E64" si="135">D63*1.8</f>
        <v>0</v>
      </c>
      <c r="F63" s="21"/>
      <c r="G63" s="81"/>
      <c r="H63" s="20">
        <f t="shared" ref="H63:H64" si="136">ROUND(G63/12,2)</f>
        <v>0</v>
      </c>
      <c r="I63" s="20">
        <f t="shared" ref="I63:I64" si="137">H63*1.8</f>
        <v>0</v>
      </c>
      <c r="J63" s="21"/>
      <c r="K63" s="82"/>
      <c r="L63" s="20">
        <f t="shared" ref="L63:L64" si="138">ROUND(K63/12,2)</f>
        <v>0</v>
      </c>
      <c r="M63" s="20">
        <f t="shared" ref="M63:M64" si="139">L63*1.8</f>
        <v>0</v>
      </c>
      <c r="N63" s="21"/>
      <c r="O63" s="22">
        <f t="shared" si="117"/>
        <v>0</v>
      </c>
      <c r="P63" s="22">
        <f t="shared" ref="P63:P64" si="140">ROUND(O63/24,2)</f>
        <v>0</v>
      </c>
      <c r="Q63" s="22">
        <f t="shared" ref="Q63:Q64" si="141">P63*1.8</f>
        <v>0</v>
      </c>
      <c r="R63" s="23"/>
    </row>
    <row r="64" spans="1:18" ht="18.75" customHeight="1" x14ac:dyDescent="0.35">
      <c r="A64" s="145"/>
      <c r="B64" s="145" t="s">
        <v>10</v>
      </c>
      <c r="C64" s="271"/>
      <c r="D64" s="20">
        <f t="shared" si="134"/>
        <v>0</v>
      </c>
      <c r="E64" s="20">
        <f t="shared" si="135"/>
        <v>0</v>
      </c>
      <c r="F64" s="21"/>
      <c r="G64" s="81"/>
      <c r="H64" s="20">
        <f t="shared" si="136"/>
        <v>0</v>
      </c>
      <c r="I64" s="20">
        <f t="shared" si="137"/>
        <v>0</v>
      </c>
      <c r="J64" s="21"/>
      <c r="K64" s="82"/>
      <c r="L64" s="20">
        <f t="shared" si="138"/>
        <v>0</v>
      </c>
      <c r="M64" s="20">
        <f t="shared" si="139"/>
        <v>0</v>
      </c>
      <c r="N64" s="21"/>
      <c r="O64" s="22">
        <f t="shared" si="117"/>
        <v>0</v>
      </c>
      <c r="P64" s="22">
        <f t="shared" si="140"/>
        <v>0</v>
      </c>
      <c r="Q64" s="22">
        <f t="shared" si="141"/>
        <v>0</v>
      </c>
      <c r="R64" s="23"/>
    </row>
    <row r="65" spans="1:18" ht="18.75" customHeight="1" x14ac:dyDescent="0.35">
      <c r="A65" s="145" t="s">
        <v>29</v>
      </c>
      <c r="B65" s="145" t="s">
        <v>8</v>
      </c>
      <c r="C65" s="271">
        <v>3378</v>
      </c>
      <c r="D65" s="20">
        <f>ROUND(C65/18,2)</f>
        <v>187.67</v>
      </c>
      <c r="E65" s="20"/>
      <c r="F65" s="21">
        <f>SUM(D65,E66:E67)</f>
        <v>191.26999999999998</v>
      </c>
      <c r="G65" s="81">
        <v>3708</v>
      </c>
      <c r="H65" s="20">
        <f>ROUND(G65/18,2)</f>
        <v>206</v>
      </c>
      <c r="I65" s="20"/>
      <c r="J65" s="21">
        <f>SUM(H65,I66:I67)</f>
        <v>218.6</v>
      </c>
      <c r="K65" s="82">
        <v>1557</v>
      </c>
      <c r="L65" s="20">
        <f>ROUND(K65/18,2)</f>
        <v>86.5</v>
      </c>
      <c r="M65" s="20"/>
      <c r="N65" s="21">
        <f>SUM(L65,M66:M67)</f>
        <v>86.5</v>
      </c>
      <c r="O65" s="22">
        <f t="shared" si="117"/>
        <v>8643</v>
      </c>
      <c r="P65" s="22">
        <f>ROUND(O65/36,2)</f>
        <v>240.08</v>
      </c>
      <c r="Q65" s="22"/>
      <c r="R65" s="23">
        <f>SUM(P65,Q66:Q67)</f>
        <v>248.18</v>
      </c>
    </row>
    <row r="66" spans="1:18" ht="18.75" customHeight="1" x14ac:dyDescent="0.35">
      <c r="A66" s="145"/>
      <c r="B66" s="145" t="s">
        <v>9</v>
      </c>
      <c r="C66" s="271">
        <v>24</v>
      </c>
      <c r="D66" s="20">
        <f t="shared" ref="D66:D67" si="142">ROUND(C66/12,2)</f>
        <v>2</v>
      </c>
      <c r="E66" s="20">
        <f t="shared" ref="E66:E67" si="143">D66*1.8</f>
        <v>3.6</v>
      </c>
      <c r="F66" s="21"/>
      <c r="G66" s="81">
        <v>84</v>
      </c>
      <c r="H66" s="20">
        <f t="shared" ref="H66:H67" si="144">ROUND(G66/12,2)</f>
        <v>7</v>
      </c>
      <c r="I66" s="20">
        <f t="shared" ref="I66:I67" si="145">H66*1.8</f>
        <v>12.6</v>
      </c>
      <c r="J66" s="21"/>
      <c r="K66" s="82"/>
      <c r="L66" s="20">
        <f t="shared" ref="L66:L67" si="146">ROUND(K66/12,2)</f>
        <v>0</v>
      </c>
      <c r="M66" s="20">
        <f t="shared" ref="M66:M67" si="147">L66*1.8</f>
        <v>0</v>
      </c>
      <c r="N66" s="21"/>
      <c r="O66" s="22">
        <f t="shared" si="117"/>
        <v>108</v>
      </c>
      <c r="P66" s="22">
        <f t="shared" ref="P66:P67" si="148">ROUND(O66/24,2)</f>
        <v>4.5</v>
      </c>
      <c r="Q66" s="22">
        <f t="shared" ref="Q66:Q67" si="149">P66*1.8</f>
        <v>8.1</v>
      </c>
      <c r="R66" s="23"/>
    </row>
    <row r="67" spans="1:18" ht="18.75" customHeight="1" x14ac:dyDescent="0.35">
      <c r="A67" s="145"/>
      <c r="B67" s="145" t="s">
        <v>10</v>
      </c>
      <c r="C67" s="271"/>
      <c r="D67" s="20">
        <f t="shared" si="142"/>
        <v>0</v>
      </c>
      <c r="E67" s="20">
        <f t="shared" si="143"/>
        <v>0</v>
      </c>
      <c r="F67" s="21"/>
      <c r="G67" s="81"/>
      <c r="H67" s="20">
        <f t="shared" si="144"/>
        <v>0</v>
      </c>
      <c r="I67" s="20">
        <f t="shared" si="145"/>
        <v>0</v>
      </c>
      <c r="J67" s="21"/>
      <c r="K67" s="82"/>
      <c r="L67" s="20">
        <f t="shared" si="146"/>
        <v>0</v>
      </c>
      <c r="M67" s="20">
        <f t="shared" si="147"/>
        <v>0</v>
      </c>
      <c r="N67" s="21"/>
      <c r="O67" s="22">
        <f t="shared" si="117"/>
        <v>0</v>
      </c>
      <c r="P67" s="22">
        <f t="shared" si="148"/>
        <v>0</v>
      </c>
      <c r="Q67" s="22">
        <f t="shared" si="149"/>
        <v>0</v>
      </c>
      <c r="R67" s="23"/>
    </row>
    <row r="68" spans="1:18" ht="18.75" customHeight="1" x14ac:dyDescent="0.35">
      <c r="A68" s="145" t="s">
        <v>30</v>
      </c>
      <c r="B68" s="145" t="s">
        <v>8</v>
      </c>
      <c r="C68" s="271"/>
      <c r="D68" s="20">
        <f>ROUND(C68/18,2)</f>
        <v>0</v>
      </c>
      <c r="E68" s="20"/>
      <c r="F68" s="21">
        <f>SUM(D68,E69:E70)</f>
        <v>0</v>
      </c>
      <c r="G68" s="81"/>
      <c r="H68" s="20">
        <f>ROUND(G68/18,2)</f>
        <v>0</v>
      </c>
      <c r="I68" s="20"/>
      <c r="J68" s="21">
        <f>SUM(H68,I69:I70)</f>
        <v>0</v>
      </c>
      <c r="K68" s="82"/>
      <c r="L68" s="20">
        <f>ROUND(K68/18,2)</f>
        <v>0</v>
      </c>
      <c r="M68" s="20"/>
      <c r="N68" s="21">
        <f>SUM(L68,M69:M70)</f>
        <v>0</v>
      </c>
      <c r="O68" s="22">
        <f t="shared" si="117"/>
        <v>0</v>
      </c>
      <c r="P68" s="22">
        <f>ROUND(O68/36,2)</f>
        <v>0</v>
      </c>
      <c r="Q68" s="22"/>
      <c r="R68" s="23">
        <f>SUM(P68,Q69:Q70)</f>
        <v>0</v>
      </c>
    </row>
    <row r="69" spans="1:18" ht="18.75" customHeight="1" x14ac:dyDescent="0.35">
      <c r="A69" s="145"/>
      <c r="B69" s="145" t="s">
        <v>9</v>
      </c>
      <c r="C69" s="271"/>
      <c r="D69" s="20">
        <f t="shared" ref="D69:D70" si="150">ROUND(C69/12,2)</f>
        <v>0</v>
      </c>
      <c r="E69" s="20">
        <f t="shared" ref="E69:E70" si="151">D69*1.8</f>
        <v>0</v>
      </c>
      <c r="F69" s="21"/>
      <c r="G69" s="81"/>
      <c r="H69" s="20">
        <f t="shared" ref="H69:H70" si="152">ROUND(G69/12,2)</f>
        <v>0</v>
      </c>
      <c r="I69" s="20">
        <f t="shared" ref="I69:I70" si="153">H69*1.8</f>
        <v>0</v>
      </c>
      <c r="J69" s="21"/>
      <c r="K69" s="82"/>
      <c r="L69" s="20">
        <f t="shared" ref="L69:L70" si="154">ROUND(K69/12,2)</f>
        <v>0</v>
      </c>
      <c r="M69" s="20">
        <f t="shared" ref="M69:M70" si="155">L69*1.8</f>
        <v>0</v>
      </c>
      <c r="N69" s="21"/>
      <c r="O69" s="22">
        <f t="shared" si="117"/>
        <v>0</v>
      </c>
      <c r="P69" s="22">
        <f t="shared" ref="P69:P70" si="156">ROUND(O69/24,2)</f>
        <v>0</v>
      </c>
      <c r="Q69" s="22">
        <f t="shared" ref="Q69:Q70" si="157">P69*1.8</f>
        <v>0</v>
      </c>
      <c r="R69" s="23"/>
    </row>
    <row r="70" spans="1:18" ht="18.75" customHeight="1" x14ac:dyDescent="0.35">
      <c r="A70" s="145"/>
      <c r="B70" s="145" t="s">
        <v>10</v>
      </c>
      <c r="C70" s="271"/>
      <c r="D70" s="20">
        <f t="shared" si="150"/>
        <v>0</v>
      </c>
      <c r="E70" s="20">
        <f t="shared" si="151"/>
        <v>0</v>
      </c>
      <c r="F70" s="21"/>
      <c r="G70" s="81"/>
      <c r="H70" s="20">
        <f t="shared" si="152"/>
        <v>0</v>
      </c>
      <c r="I70" s="20">
        <f t="shared" si="153"/>
        <v>0</v>
      </c>
      <c r="J70" s="21"/>
      <c r="K70" s="82"/>
      <c r="L70" s="20">
        <f t="shared" si="154"/>
        <v>0</v>
      </c>
      <c r="M70" s="20">
        <f t="shared" si="155"/>
        <v>0</v>
      </c>
      <c r="N70" s="21"/>
      <c r="O70" s="22">
        <f t="shared" si="117"/>
        <v>0</v>
      </c>
      <c r="P70" s="22">
        <f t="shared" si="156"/>
        <v>0</v>
      </c>
      <c r="Q70" s="22">
        <f t="shared" si="157"/>
        <v>0</v>
      </c>
      <c r="R70" s="23"/>
    </row>
    <row r="71" spans="1:18" ht="18.75" customHeight="1" x14ac:dyDescent="0.35">
      <c r="A71" s="145" t="s">
        <v>31</v>
      </c>
      <c r="B71" s="145" t="s">
        <v>8</v>
      </c>
      <c r="C71" s="271"/>
      <c r="D71" s="20">
        <f>ROUND(C71/18,2)</f>
        <v>0</v>
      </c>
      <c r="E71" s="20"/>
      <c r="F71" s="21">
        <f>SUM(D71,E72:E73)</f>
        <v>0</v>
      </c>
      <c r="G71" s="81">
        <v>1313</v>
      </c>
      <c r="H71" s="20">
        <f>ROUND(G71/18,2)</f>
        <v>72.94</v>
      </c>
      <c r="I71" s="20"/>
      <c r="J71" s="21">
        <f>SUM(H71,I72:I73)</f>
        <v>72.94</v>
      </c>
      <c r="K71" s="82"/>
      <c r="L71" s="20">
        <f>ROUND(K71/18,2)</f>
        <v>0</v>
      </c>
      <c r="M71" s="20"/>
      <c r="N71" s="21">
        <f>SUM(L71,M72:M73)</f>
        <v>0</v>
      </c>
      <c r="O71" s="22">
        <f t="shared" si="117"/>
        <v>1313</v>
      </c>
      <c r="P71" s="22">
        <f>ROUND(O71/36,2)</f>
        <v>36.47</v>
      </c>
      <c r="Q71" s="22"/>
      <c r="R71" s="23">
        <f>SUM(P71,Q72:Q73)</f>
        <v>36.47</v>
      </c>
    </row>
    <row r="72" spans="1:18" ht="18.75" customHeight="1" x14ac:dyDescent="0.35">
      <c r="A72" s="145"/>
      <c r="B72" s="145" t="s">
        <v>9</v>
      </c>
      <c r="C72" s="271"/>
      <c r="D72" s="20">
        <f t="shared" ref="D72:D73" si="158">ROUND(C72/12,2)</f>
        <v>0</v>
      </c>
      <c r="E72" s="20">
        <f t="shared" ref="E72:E73" si="159">D72*1.8</f>
        <v>0</v>
      </c>
      <c r="F72" s="21"/>
      <c r="G72" s="81"/>
      <c r="H72" s="20">
        <f t="shared" ref="H72:H73" si="160">ROUND(G72/12,2)</f>
        <v>0</v>
      </c>
      <c r="I72" s="20">
        <f t="shared" ref="I72:I73" si="161">H72*1.8</f>
        <v>0</v>
      </c>
      <c r="J72" s="21"/>
      <c r="K72" s="82"/>
      <c r="L72" s="20">
        <f t="shared" ref="L72:L73" si="162">ROUND(K72/12,2)</f>
        <v>0</v>
      </c>
      <c r="M72" s="20">
        <f t="shared" ref="M72:M73" si="163">L72*1.8</f>
        <v>0</v>
      </c>
      <c r="N72" s="21"/>
      <c r="O72" s="22">
        <f t="shared" si="117"/>
        <v>0</v>
      </c>
      <c r="P72" s="22">
        <f t="shared" ref="P72:P73" si="164">ROUND(O72/24,2)</f>
        <v>0</v>
      </c>
      <c r="Q72" s="22">
        <f t="shared" ref="Q72:Q73" si="165">P72*1.8</f>
        <v>0</v>
      </c>
      <c r="R72" s="23"/>
    </row>
    <row r="73" spans="1:18" ht="18.75" customHeight="1" x14ac:dyDescent="0.35">
      <c r="A73" s="145"/>
      <c r="B73" s="145" t="s">
        <v>10</v>
      </c>
      <c r="C73" s="271"/>
      <c r="D73" s="20">
        <f t="shared" si="158"/>
        <v>0</v>
      </c>
      <c r="E73" s="20">
        <f t="shared" si="159"/>
        <v>0</v>
      </c>
      <c r="F73" s="21"/>
      <c r="G73" s="81"/>
      <c r="H73" s="20">
        <f t="shared" si="160"/>
        <v>0</v>
      </c>
      <c r="I73" s="20">
        <f t="shared" si="161"/>
        <v>0</v>
      </c>
      <c r="J73" s="21"/>
      <c r="K73" s="82"/>
      <c r="L73" s="20">
        <f t="shared" si="162"/>
        <v>0</v>
      </c>
      <c r="M73" s="20">
        <f t="shared" si="163"/>
        <v>0</v>
      </c>
      <c r="N73" s="21"/>
      <c r="O73" s="22">
        <f t="shared" si="117"/>
        <v>0</v>
      </c>
      <c r="P73" s="22">
        <f t="shared" si="164"/>
        <v>0</v>
      </c>
      <c r="Q73" s="22">
        <f t="shared" si="165"/>
        <v>0</v>
      </c>
      <c r="R73" s="23"/>
    </row>
    <row r="74" spans="1:18" ht="18.75" customHeight="1" x14ac:dyDescent="0.35">
      <c r="A74" s="145" t="s">
        <v>32</v>
      </c>
      <c r="B74" s="145" t="s">
        <v>8</v>
      </c>
      <c r="C74" s="271"/>
      <c r="D74" s="20">
        <f>ROUND(C74/18,2)</f>
        <v>0</v>
      </c>
      <c r="E74" s="20"/>
      <c r="F74" s="21">
        <f>SUM(D74,E75:E76)</f>
        <v>0</v>
      </c>
      <c r="G74" s="81"/>
      <c r="H74" s="20">
        <f>ROUND(G74/18,2)</f>
        <v>0</v>
      </c>
      <c r="I74" s="20"/>
      <c r="J74" s="21">
        <f>SUM(H74,I75:I76)</f>
        <v>0</v>
      </c>
      <c r="K74" s="82"/>
      <c r="L74" s="20">
        <f>ROUND(K74/18,2)</f>
        <v>0</v>
      </c>
      <c r="M74" s="20"/>
      <c r="N74" s="21">
        <f>SUM(L74,M75:M76)</f>
        <v>0</v>
      </c>
      <c r="O74" s="22">
        <f t="shared" si="117"/>
        <v>0</v>
      </c>
      <c r="P74" s="22">
        <f>ROUND(O74/36,2)</f>
        <v>0</v>
      </c>
      <c r="Q74" s="22"/>
      <c r="R74" s="23">
        <f>SUM(P74,Q75:Q76)</f>
        <v>0</v>
      </c>
    </row>
    <row r="75" spans="1:18" ht="18.75" customHeight="1" x14ac:dyDescent="0.35">
      <c r="A75" s="145"/>
      <c r="B75" s="145" t="s">
        <v>9</v>
      </c>
      <c r="C75" s="271"/>
      <c r="D75" s="20">
        <f t="shared" ref="D75:D76" si="166">ROUND(C75/12,2)</f>
        <v>0</v>
      </c>
      <c r="E75" s="20">
        <f t="shared" ref="E75:E76" si="167">D75*1.8</f>
        <v>0</v>
      </c>
      <c r="F75" s="21"/>
      <c r="G75" s="81"/>
      <c r="H75" s="20">
        <f t="shared" ref="H75:H76" si="168">ROUND(G75/12,2)</f>
        <v>0</v>
      </c>
      <c r="I75" s="20">
        <f t="shared" ref="I75:I76" si="169">H75*1.8</f>
        <v>0</v>
      </c>
      <c r="J75" s="21"/>
      <c r="K75" s="82"/>
      <c r="L75" s="20">
        <f t="shared" ref="L75:L76" si="170">ROUND(K75/12,2)</f>
        <v>0</v>
      </c>
      <c r="M75" s="20">
        <f t="shared" ref="M75:M76" si="171">L75*1.8</f>
        <v>0</v>
      </c>
      <c r="N75" s="21"/>
      <c r="O75" s="22">
        <f t="shared" si="117"/>
        <v>0</v>
      </c>
      <c r="P75" s="22">
        <f t="shared" ref="P75:P76" si="172">ROUND(O75/24,2)</f>
        <v>0</v>
      </c>
      <c r="Q75" s="22">
        <f t="shared" ref="Q75:Q76" si="173">P75*1.8</f>
        <v>0</v>
      </c>
      <c r="R75" s="23"/>
    </row>
    <row r="76" spans="1:18" ht="18.75" customHeight="1" x14ac:dyDescent="0.35">
      <c r="A76" s="145"/>
      <c r="B76" s="145" t="s">
        <v>10</v>
      </c>
      <c r="C76" s="271"/>
      <c r="D76" s="20">
        <f t="shared" si="166"/>
        <v>0</v>
      </c>
      <c r="E76" s="20">
        <f t="shared" si="167"/>
        <v>0</v>
      </c>
      <c r="F76" s="21"/>
      <c r="G76" s="81"/>
      <c r="H76" s="20">
        <f t="shared" si="168"/>
        <v>0</v>
      </c>
      <c r="I76" s="20">
        <f t="shared" si="169"/>
        <v>0</v>
      </c>
      <c r="J76" s="21"/>
      <c r="K76" s="82"/>
      <c r="L76" s="20">
        <f t="shared" si="170"/>
        <v>0</v>
      </c>
      <c r="M76" s="20">
        <f t="shared" si="171"/>
        <v>0</v>
      </c>
      <c r="N76" s="21"/>
      <c r="O76" s="22">
        <f t="shared" si="117"/>
        <v>0</v>
      </c>
      <c r="P76" s="22">
        <f t="shared" si="172"/>
        <v>0</v>
      </c>
      <c r="Q76" s="22">
        <f t="shared" si="173"/>
        <v>0</v>
      </c>
      <c r="R76" s="23"/>
    </row>
    <row r="77" spans="1:18" ht="18.75" customHeight="1" x14ac:dyDescent="0.35">
      <c r="A77" s="145" t="s">
        <v>33</v>
      </c>
      <c r="B77" s="145" t="s">
        <v>8</v>
      </c>
      <c r="C77" s="271">
        <v>432</v>
      </c>
      <c r="D77" s="20">
        <f>ROUND(C77/18,2)</f>
        <v>24</v>
      </c>
      <c r="E77" s="20"/>
      <c r="F77" s="21">
        <f>SUM(D77,E78:E79)</f>
        <v>31.2</v>
      </c>
      <c r="G77" s="81">
        <v>735</v>
      </c>
      <c r="H77" s="20">
        <f>ROUND(G77/18,2)</f>
        <v>40.83</v>
      </c>
      <c r="I77" s="20"/>
      <c r="J77" s="21">
        <f>SUM(H77,I78:I79)</f>
        <v>46.23</v>
      </c>
      <c r="K77" s="82"/>
      <c r="L77" s="20">
        <f>ROUND(K77/18,2)</f>
        <v>0</v>
      </c>
      <c r="M77" s="20"/>
      <c r="N77" s="21">
        <f>SUM(L77,M78:M79)</f>
        <v>0</v>
      </c>
      <c r="O77" s="22">
        <f t="shared" si="117"/>
        <v>1167</v>
      </c>
      <c r="P77" s="22">
        <f>ROUND(O77/36,2)</f>
        <v>32.42</v>
      </c>
      <c r="Q77" s="22"/>
      <c r="R77" s="23">
        <f>SUM(P77,Q78:Q79)</f>
        <v>38.72</v>
      </c>
    </row>
    <row r="78" spans="1:18" ht="18.75" customHeight="1" x14ac:dyDescent="0.35">
      <c r="A78" s="145"/>
      <c r="B78" s="145" t="s">
        <v>9</v>
      </c>
      <c r="C78" s="271">
        <v>48</v>
      </c>
      <c r="D78" s="20">
        <f t="shared" ref="D78:D79" si="174">ROUND(C78/12,2)</f>
        <v>4</v>
      </c>
      <c r="E78" s="20">
        <f t="shared" ref="E78:E79" si="175">D78*1.8</f>
        <v>7.2</v>
      </c>
      <c r="F78" s="21"/>
      <c r="G78" s="81">
        <v>36</v>
      </c>
      <c r="H78" s="20">
        <f t="shared" ref="H78:H79" si="176">ROUND(G78/12,2)</f>
        <v>3</v>
      </c>
      <c r="I78" s="20">
        <f t="shared" ref="I78:I79" si="177">H78*1.8</f>
        <v>5.4</v>
      </c>
      <c r="J78" s="21"/>
      <c r="K78" s="82"/>
      <c r="L78" s="20">
        <f t="shared" ref="L78:L79" si="178">ROUND(K78/12,2)</f>
        <v>0</v>
      </c>
      <c r="M78" s="20">
        <f t="shared" ref="M78:M79" si="179">L78*1.8</f>
        <v>0</v>
      </c>
      <c r="N78" s="21"/>
      <c r="O78" s="22">
        <f t="shared" si="117"/>
        <v>84</v>
      </c>
      <c r="P78" s="22">
        <f t="shared" ref="P78:P79" si="180">ROUND(O78/24,2)</f>
        <v>3.5</v>
      </c>
      <c r="Q78" s="22">
        <f t="shared" ref="Q78:Q79" si="181">P78*1.8</f>
        <v>6.3</v>
      </c>
      <c r="R78" s="23"/>
    </row>
    <row r="79" spans="1:18" ht="18.75" customHeight="1" x14ac:dyDescent="0.35">
      <c r="A79" s="145"/>
      <c r="B79" s="145" t="s">
        <v>10</v>
      </c>
      <c r="C79" s="271"/>
      <c r="D79" s="20">
        <f t="shared" si="174"/>
        <v>0</v>
      </c>
      <c r="E79" s="20">
        <f t="shared" si="175"/>
        <v>0</v>
      </c>
      <c r="F79" s="21"/>
      <c r="G79" s="81"/>
      <c r="H79" s="20">
        <f t="shared" si="176"/>
        <v>0</v>
      </c>
      <c r="I79" s="20">
        <f t="shared" si="177"/>
        <v>0</v>
      </c>
      <c r="J79" s="21"/>
      <c r="K79" s="82"/>
      <c r="L79" s="20">
        <f t="shared" si="178"/>
        <v>0</v>
      </c>
      <c r="M79" s="20">
        <f t="shared" si="179"/>
        <v>0</v>
      </c>
      <c r="N79" s="21"/>
      <c r="O79" s="22">
        <f t="shared" si="117"/>
        <v>0</v>
      </c>
      <c r="P79" s="22">
        <f t="shared" si="180"/>
        <v>0</v>
      </c>
      <c r="Q79" s="22">
        <f t="shared" si="181"/>
        <v>0</v>
      </c>
      <c r="R79" s="23"/>
    </row>
    <row r="80" spans="1:18" ht="18.75" customHeight="1" x14ac:dyDescent="0.35">
      <c r="A80" s="145" t="s">
        <v>34</v>
      </c>
      <c r="B80" s="145" t="s">
        <v>8</v>
      </c>
      <c r="C80" s="271">
        <v>273</v>
      </c>
      <c r="D80" s="20">
        <f>ROUND(C80/18,2)</f>
        <v>15.17</v>
      </c>
      <c r="E80" s="20"/>
      <c r="F80" s="21">
        <f>SUM(D80,E81:E82)</f>
        <v>15.17</v>
      </c>
      <c r="G80" s="81">
        <v>267</v>
      </c>
      <c r="H80" s="20">
        <f>ROUND(G80/18,2)</f>
        <v>14.83</v>
      </c>
      <c r="I80" s="20"/>
      <c r="J80" s="21">
        <f>SUM(H80,I81:I82)</f>
        <v>14.83</v>
      </c>
      <c r="K80" s="82"/>
      <c r="L80" s="20">
        <f>ROUND(K80/18,2)</f>
        <v>0</v>
      </c>
      <c r="M80" s="20"/>
      <c r="N80" s="21">
        <f>SUM(L80,M81:M82)</f>
        <v>0</v>
      </c>
      <c r="O80" s="22">
        <f t="shared" si="117"/>
        <v>540</v>
      </c>
      <c r="P80" s="22">
        <f>ROUND(O80/36,2)</f>
        <v>15</v>
      </c>
      <c r="Q80" s="22"/>
      <c r="R80" s="23">
        <f>SUM(P80,Q81:Q82)</f>
        <v>15</v>
      </c>
    </row>
    <row r="81" spans="1:18" ht="18.75" customHeight="1" x14ac:dyDescent="0.35">
      <c r="A81" s="145"/>
      <c r="B81" s="145" t="s">
        <v>9</v>
      </c>
      <c r="C81" s="271"/>
      <c r="D81" s="20">
        <f t="shared" ref="D81:D82" si="182">ROUND(C81/12,2)</f>
        <v>0</v>
      </c>
      <c r="E81" s="20">
        <f t="shared" ref="E81:E82" si="183">D81*1.8</f>
        <v>0</v>
      </c>
      <c r="F81" s="21"/>
      <c r="G81" s="81"/>
      <c r="H81" s="20">
        <f t="shared" ref="H81:H82" si="184">ROUND(G81/12,2)</f>
        <v>0</v>
      </c>
      <c r="I81" s="20">
        <f t="shared" ref="I81:I82" si="185">H81*1.8</f>
        <v>0</v>
      </c>
      <c r="J81" s="21"/>
      <c r="K81" s="82"/>
      <c r="L81" s="20">
        <f t="shared" ref="L81:L82" si="186">ROUND(K81/12,2)</f>
        <v>0</v>
      </c>
      <c r="M81" s="20">
        <f t="shared" ref="M81:M82" si="187">L81*1.8</f>
        <v>0</v>
      </c>
      <c r="N81" s="21"/>
      <c r="O81" s="22">
        <f t="shared" si="117"/>
        <v>0</v>
      </c>
      <c r="P81" s="22">
        <f t="shared" ref="P81:P82" si="188">ROUND(O81/24,2)</f>
        <v>0</v>
      </c>
      <c r="Q81" s="22">
        <f t="shared" ref="Q81:Q82" si="189">P81*1.8</f>
        <v>0</v>
      </c>
      <c r="R81" s="23"/>
    </row>
    <row r="82" spans="1:18" ht="18.75" customHeight="1" x14ac:dyDescent="0.35">
      <c r="A82" s="145"/>
      <c r="B82" s="145" t="s">
        <v>10</v>
      </c>
      <c r="C82" s="271"/>
      <c r="D82" s="20">
        <f t="shared" si="182"/>
        <v>0</v>
      </c>
      <c r="E82" s="20">
        <f t="shared" si="183"/>
        <v>0</v>
      </c>
      <c r="F82" s="21"/>
      <c r="G82" s="81"/>
      <c r="H82" s="20">
        <f t="shared" si="184"/>
        <v>0</v>
      </c>
      <c r="I82" s="20">
        <f t="shared" si="185"/>
        <v>0</v>
      </c>
      <c r="J82" s="21"/>
      <c r="K82" s="82"/>
      <c r="L82" s="20">
        <f t="shared" si="186"/>
        <v>0</v>
      </c>
      <c r="M82" s="20">
        <f t="shared" si="187"/>
        <v>0</v>
      </c>
      <c r="N82" s="21"/>
      <c r="O82" s="22">
        <f t="shared" si="117"/>
        <v>0</v>
      </c>
      <c r="P82" s="22">
        <f t="shared" si="188"/>
        <v>0</v>
      </c>
      <c r="Q82" s="22">
        <f t="shared" si="189"/>
        <v>0</v>
      </c>
      <c r="R82" s="23"/>
    </row>
    <row r="83" spans="1:18" ht="18.75" customHeight="1" x14ac:dyDescent="0.35">
      <c r="A83" s="145" t="s">
        <v>35</v>
      </c>
      <c r="B83" s="145" t="s">
        <v>8</v>
      </c>
      <c r="C83" s="271">
        <v>511</v>
      </c>
      <c r="D83" s="20">
        <f>ROUND(C83/18,2)</f>
        <v>28.39</v>
      </c>
      <c r="E83" s="20"/>
      <c r="F83" s="21">
        <f>SUM(D83,E84:E85)</f>
        <v>28.39</v>
      </c>
      <c r="G83" s="81">
        <v>749</v>
      </c>
      <c r="H83" s="20">
        <f>ROUND(G83/18,2)</f>
        <v>41.61</v>
      </c>
      <c r="I83" s="20"/>
      <c r="J83" s="21">
        <f>SUM(H83,I84:I85)</f>
        <v>41.61</v>
      </c>
      <c r="K83" s="82"/>
      <c r="L83" s="20">
        <f>ROUND(K83/18,2)</f>
        <v>0</v>
      </c>
      <c r="M83" s="20"/>
      <c r="N83" s="21">
        <f>SUM(L83,M84:M85)</f>
        <v>0</v>
      </c>
      <c r="O83" s="22">
        <f t="shared" si="117"/>
        <v>1260</v>
      </c>
      <c r="P83" s="22">
        <f>ROUND(O83/36,2)</f>
        <v>35</v>
      </c>
      <c r="Q83" s="22"/>
      <c r="R83" s="23">
        <f>SUM(P83,Q84:Q85)</f>
        <v>35</v>
      </c>
    </row>
    <row r="84" spans="1:18" ht="18.75" customHeight="1" x14ac:dyDescent="0.35">
      <c r="A84" s="145"/>
      <c r="B84" s="145" t="s">
        <v>9</v>
      </c>
      <c r="C84" s="271"/>
      <c r="D84" s="20">
        <f t="shared" ref="D84:D85" si="190">ROUND(C84/12,2)</f>
        <v>0</v>
      </c>
      <c r="E84" s="20">
        <f t="shared" ref="E84:E85" si="191">D84*1.8</f>
        <v>0</v>
      </c>
      <c r="F84" s="21"/>
      <c r="G84" s="81"/>
      <c r="H84" s="20">
        <f t="shared" ref="H84:H85" si="192">ROUND(G84/12,2)</f>
        <v>0</v>
      </c>
      <c r="I84" s="20">
        <f t="shared" ref="I84:I85" si="193">H84*1.8</f>
        <v>0</v>
      </c>
      <c r="J84" s="21"/>
      <c r="K84" s="82"/>
      <c r="L84" s="20">
        <f t="shared" ref="L84:L85" si="194">ROUND(K84/12,2)</f>
        <v>0</v>
      </c>
      <c r="M84" s="20">
        <f t="shared" ref="M84:M85" si="195">L84*1.8</f>
        <v>0</v>
      </c>
      <c r="N84" s="21"/>
      <c r="O84" s="22">
        <f t="shared" si="117"/>
        <v>0</v>
      </c>
      <c r="P84" s="22">
        <f t="shared" ref="P84:P85" si="196">ROUND(O84/24,2)</f>
        <v>0</v>
      </c>
      <c r="Q84" s="22">
        <f t="shared" ref="Q84:Q85" si="197">P84*1.8</f>
        <v>0</v>
      </c>
      <c r="R84" s="23"/>
    </row>
    <row r="85" spans="1:18" ht="18.75" customHeight="1" x14ac:dyDescent="0.35">
      <c r="A85" s="145"/>
      <c r="B85" s="145" t="s">
        <v>10</v>
      </c>
      <c r="C85" s="271"/>
      <c r="D85" s="20">
        <f t="shared" si="190"/>
        <v>0</v>
      </c>
      <c r="E85" s="20">
        <f t="shared" si="191"/>
        <v>0</v>
      </c>
      <c r="F85" s="21"/>
      <c r="G85" s="81"/>
      <c r="H85" s="20">
        <f t="shared" si="192"/>
        <v>0</v>
      </c>
      <c r="I85" s="20">
        <f t="shared" si="193"/>
        <v>0</v>
      </c>
      <c r="J85" s="21"/>
      <c r="K85" s="82"/>
      <c r="L85" s="20">
        <f t="shared" si="194"/>
        <v>0</v>
      </c>
      <c r="M85" s="20">
        <f t="shared" si="195"/>
        <v>0</v>
      </c>
      <c r="N85" s="21"/>
      <c r="O85" s="22">
        <f t="shared" si="117"/>
        <v>0</v>
      </c>
      <c r="P85" s="22">
        <f t="shared" si="196"/>
        <v>0</v>
      </c>
      <c r="Q85" s="22">
        <f t="shared" si="197"/>
        <v>0</v>
      </c>
      <c r="R85" s="23"/>
    </row>
    <row r="86" spans="1:18" ht="18.75" customHeight="1" x14ac:dyDescent="0.35">
      <c r="A86" s="145" t="s">
        <v>36</v>
      </c>
      <c r="B86" s="145" t="s">
        <v>8</v>
      </c>
      <c r="C86" s="271"/>
      <c r="D86" s="20">
        <f>ROUND(C86/18,2)</f>
        <v>0</v>
      </c>
      <c r="E86" s="20"/>
      <c r="F86" s="21">
        <f>SUM(D86,E87:E88)</f>
        <v>0</v>
      </c>
      <c r="G86" s="81"/>
      <c r="H86" s="20">
        <f>ROUND(G86/18,2)</f>
        <v>0</v>
      </c>
      <c r="I86" s="20"/>
      <c r="J86" s="21">
        <f>SUM(H86,I87:I88)</f>
        <v>0</v>
      </c>
      <c r="K86" s="82"/>
      <c r="L86" s="20">
        <f>ROUND(K86/18,2)</f>
        <v>0</v>
      </c>
      <c r="M86" s="20"/>
      <c r="N86" s="21">
        <f>SUM(L86,M87:M88)</f>
        <v>0</v>
      </c>
      <c r="O86" s="22">
        <f t="shared" si="117"/>
        <v>0</v>
      </c>
      <c r="P86" s="22">
        <f>ROUND(O86/36,2)</f>
        <v>0</v>
      </c>
      <c r="Q86" s="22"/>
      <c r="R86" s="23">
        <f>SUM(P86,Q87:Q88)</f>
        <v>0</v>
      </c>
    </row>
    <row r="87" spans="1:18" ht="18.75" customHeight="1" x14ac:dyDescent="0.35">
      <c r="A87" s="145"/>
      <c r="B87" s="145" t="s">
        <v>9</v>
      </c>
      <c r="C87" s="271"/>
      <c r="D87" s="20">
        <f t="shared" ref="D87:D88" si="198">ROUND(C87/12,2)</f>
        <v>0</v>
      </c>
      <c r="E87" s="20">
        <f t="shared" ref="E87:E88" si="199">D87*1.8</f>
        <v>0</v>
      </c>
      <c r="F87" s="21"/>
      <c r="G87" s="81"/>
      <c r="H87" s="20">
        <f t="shared" ref="H87:H88" si="200">ROUND(G87/12,2)</f>
        <v>0</v>
      </c>
      <c r="I87" s="20">
        <f t="shared" ref="I87:I88" si="201">H87*1.8</f>
        <v>0</v>
      </c>
      <c r="J87" s="21"/>
      <c r="K87" s="82"/>
      <c r="L87" s="20">
        <f t="shared" ref="L87:L88" si="202">ROUND(K87/12,2)</f>
        <v>0</v>
      </c>
      <c r="M87" s="20">
        <f t="shared" ref="M87:M88" si="203">L87*1.8</f>
        <v>0</v>
      </c>
      <c r="N87" s="21"/>
      <c r="O87" s="22">
        <f t="shared" si="117"/>
        <v>0</v>
      </c>
      <c r="P87" s="22">
        <f t="shared" ref="P87:P88" si="204">ROUND(O87/24,2)</f>
        <v>0</v>
      </c>
      <c r="Q87" s="22">
        <f t="shared" ref="Q87:Q88" si="205">P87*1.8</f>
        <v>0</v>
      </c>
      <c r="R87" s="23"/>
    </row>
    <row r="88" spans="1:18" ht="18.75" customHeight="1" x14ac:dyDescent="0.35">
      <c r="A88" s="145"/>
      <c r="B88" s="145" t="s">
        <v>10</v>
      </c>
      <c r="C88" s="271"/>
      <c r="D88" s="20">
        <f t="shared" si="198"/>
        <v>0</v>
      </c>
      <c r="E88" s="20">
        <f t="shared" si="199"/>
        <v>0</v>
      </c>
      <c r="F88" s="21"/>
      <c r="G88" s="81"/>
      <c r="H88" s="20">
        <f t="shared" si="200"/>
        <v>0</v>
      </c>
      <c r="I88" s="20">
        <f t="shared" si="201"/>
        <v>0</v>
      </c>
      <c r="J88" s="21"/>
      <c r="K88" s="82"/>
      <c r="L88" s="20">
        <f t="shared" si="202"/>
        <v>0</v>
      </c>
      <c r="M88" s="20">
        <f t="shared" si="203"/>
        <v>0</v>
      </c>
      <c r="N88" s="21"/>
      <c r="O88" s="22">
        <f t="shared" si="117"/>
        <v>0</v>
      </c>
      <c r="P88" s="22">
        <f t="shared" si="204"/>
        <v>0</v>
      </c>
      <c r="Q88" s="22">
        <f t="shared" si="205"/>
        <v>0</v>
      </c>
      <c r="R88" s="23"/>
    </row>
    <row r="89" spans="1:18" ht="18.75" customHeight="1" x14ac:dyDescent="0.35">
      <c r="A89" s="173" t="s">
        <v>22</v>
      </c>
      <c r="B89" s="151" t="s">
        <v>8</v>
      </c>
      <c r="C89" s="138">
        <f>SUMIF($B$55:$B$88,"ปริญญาตรี",C55:C88)</f>
        <v>4936</v>
      </c>
      <c r="D89" s="32">
        <f>ROUND(C89/18,2)</f>
        <v>274.22000000000003</v>
      </c>
      <c r="E89" s="32"/>
      <c r="F89" s="33">
        <f>SUM(D89,E90:E91)</f>
        <v>295.82000000000005</v>
      </c>
      <c r="G89" s="138">
        <f>SUMIF($B$55:$B$88,"ปริญญาตรี",G55:G88)</f>
        <v>7082</v>
      </c>
      <c r="H89" s="32">
        <f>ROUND(G89/18,2)</f>
        <v>393.44</v>
      </c>
      <c r="I89" s="32"/>
      <c r="J89" s="33">
        <f>SUM(H89,I90:I91)</f>
        <v>421.79</v>
      </c>
      <c r="K89" s="138">
        <f>SUMIF($B$55:$B$88,"ปริญญาตรี",K55:K88)</f>
        <v>1557</v>
      </c>
      <c r="L89" s="32">
        <f>ROUND(K89/18,2)</f>
        <v>86.5</v>
      </c>
      <c r="M89" s="32"/>
      <c r="N89" s="33">
        <f>SUM(L89,M90:M91)</f>
        <v>86.5</v>
      </c>
      <c r="O89" s="136">
        <f t="shared" si="117"/>
        <v>13575</v>
      </c>
      <c r="P89" s="34">
        <f>ROUND(O89/36,2)</f>
        <v>377.08</v>
      </c>
      <c r="Q89" s="34"/>
      <c r="R89" s="23">
        <f>SUM(P89,Q90:Q91)</f>
        <v>402.06399999999996</v>
      </c>
    </row>
    <row r="90" spans="1:18" ht="18.75" customHeight="1" x14ac:dyDescent="0.35">
      <c r="A90" s="174" t="s">
        <v>22</v>
      </c>
      <c r="B90" s="151" t="s">
        <v>9</v>
      </c>
      <c r="C90" s="138">
        <f>SUMIF($B$55:$B$88,"ปริญญาโท",C55:C88)</f>
        <v>144</v>
      </c>
      <c r="D90" s="32">
        <f t="shared" ref="D90:D91" si="206">ROUND(C90/12,2)</f>
        <v>12</v>
      </c>
      <c r="E90" s="32">
        <f t="shared" ref="E90:E91" si="207">D90*1.8</f>
        <v>21.6</v>
      </c>
      <c r="F90" s="33"/>
      <c r="G90" s="138">
        <f>SUMIF($B$55:$B$88,"ปริญญาโท",G55:G88)</f>
        <v>189</v>
      </c>
      <c r="H90" s="32">
        <f t="shared" ref="H90:H91" si="208">ROUND(G90/12,2)</f>
        <v>15.75</v>
      </c>
      <c r="I90" s="32">
        <f t="shared" ref="I90:I91" si="209">H90*1.8</f>
        <v>28.35</v>
      </c>
      <c r="J90" s="33"/>
      <c r="K90" s="138">
        <f>SUMIF($B$55:$B$88,"ปริญญาโท",K55:K88)</f>
        <v>0</v>
      </c>
      <c r="L90" s="32">
        <f t="shared" ref="L90:L91" si="210">ROUND(K90/12,2)</f>
        <v>0</v>
      </c>
      <c r="M90" s="32">
        <f t="shared" ref="M90:M91" si="211">L90*1.8</f>
        <v>0</v>
      </c>
      <c r="N90" s="33"/>
      <c r="O90" s="136">
        <f t="shared" si="117"/>
        <v>333</v>
      </c>
      <c r="P90" s="34">
        <f t="shared" ref="P90:P91" si="212">ROUND(O90/24,2)</f>
        <v>13.88</v>
      </c>
      <c r="Q90" s="34">
        <f t="shared" ref="Q90:Q91" si="213">P90*1.8</f>
        <v>24.984000000000002</v>
      </c>
      <c r="R90" s="23"/>
    </row>
    <row r="91" spans="1:18" ht="18.75" customHeight="1" thickBot="1" x14ac:dyDescent="0.4">
      <c r="A91" s="175" t="s">
        <v>22</v>
      </c>
      <c r="B91" s="152" t="s">
        <v>10</v>
      </c>
      <c r="C91" s="139">
        <f>SUMIF($B$55:$B$88,"ปริญญาเอก",C55:C88)</f>
        <v>0</v>
      </c>
      <c r="D91" s="35">
        <f t="shared" si="206"/>
        <v>0</v>
      </c>
      <c r="E91" s="35">
        <f t="shared" si="207"/>
        <v>0</v>
      </c>
      <c r="F91" s="36"/>
      <c r="G91" s="139">
        <f>SUMIF($B$55:$B$88,"ปริญญาเอก",G55:G88)</f>
        <v>0</v>
      </c>
      <c r="H91" s="35">
        <f t="shared" si="208"/>
        <v>0</v>
      </c>
      <c r="I91" s="35">
        <f t="shared" si="209"/>
        <v>0</v>
      </c>
      <c r="J91" s="36"/>
      <c r="K91" s="139">
        <f>SUMIF($B$55:$B$88,"ปริญญาเอก",K55:K88)</f>
        <v>0</v>
      </c>
      <c r="L91" s="35">
        <f t="shared" si="210"/>
        <v>0</v>
      </c>
      <c r="M91" s="35">
        <f t="shared" si="211"/>
        <v>0</v>
      </c>
      <c r="N91" s="36"/>
      <c r="O91" s="137">
        <f t="shared" si="117"/>
        <v>0</v>
      </c>
      <c r="P91" s="37">
        <f t="shared" si="212"/>
        <v>0</v>
      </c>
      <c r="Q91" s="37">
        <f t="shared" si="213"/>
        <v>0</v>
      </c>
      <c r="R91" s="27"/>
    </row>
    <row r="92" spans="1:18" ht="18.75" customHeight="1" x14ac:dyDescent="0.35">
      <c r="A92" s="148" t="s">
        <v>37</v>
      </c>
      <c r="B92" s="149"/>
      <c r="C92" s="80"/>
      <c r="D92" s="28"/>
      <c r="E92" s="28"/>
      <c r="F92" s="29"/>
      <c r="G92" s="79"/>
      <c r="H92" s="28"/>
      <c r="I92" s="28"/>
      <c r="J92" s="29"/>
      <c r="K92" s="80"/>
      <c r="L92" s="28"/>
      <c r="M92" s="28"/>
      <c r="N92" s="29"/>
      <c r="O92" s="30"/>
      <c r="P92" s="30"/>
      <c r="Q92" s="30"/>
      <c r="R92" s="31"/>
    </row>
    <row r="93" spans="1:18" ht="18.75" customHeight="1" x14ac:dyDescent="0.35">
      <c r="A93" s="145" t="s">
        <v>38</v>
      </c>
      <c r="B93" s="145" t="s">
        <v>8</v>
      </c>
      <c r="C93" s="271">
        <v>6040</v>
      </c>
      <c r="D93" s="20">
        <f>ROUND(C93/18,2)</f>
        <v>335.56</v>
      </c>
      <c r="E93" s="20"/>
      <c r="F93" s="21">
        <f>SUM(D93,E94:E95)</f>
        <v>363.91</v>
      </c>
      <c r="G93" s="81">
        <v>4833</v>
      </c>
      <c r="H93" s="20">
        <f>ROUND(G93/18,2)</f>
        <v>268.5</v>
      </c>
      <c r="I93" s="20"/>
      <c r="J93" s="21">
        <f>SUM(H93,I94:I95)</f>
        <v>290.55</v>
      </c>
      <c r="K93" s="82">
        <v>728</v>
      </c>
      <c r="L93" s="20">
        <f>ROUND(K93/18,2)</f>
        <v>40.44</v>
      </c>
      <c r="M93" s="20"/>
      <c r="N93" s="21">
        <f>SUM(L93,M94:M95)</f>
        <v>48.54</v>
      </c>
      <c r="O93" s="22">
        <f t="shared" ref="O93:O104" si="214">SUMIF($C$3:$N$3,"SCH",C93:N93)</f>
        <v>11601</v>
      </c>
      <c r="P93" s="22">
        <f>ROUND(O93/36,2)</f>
        <v>322.25</v>
      </c>
      <c r="Q93" s="22"/>
      <c r="R93" s="23">
        <f>SUM(P93,Q94:Q95)</f>
        <v>351.5</v>
      </c>
    </row>
    <row r="94" spans="1:18" ht="18.75" customHeight="1" x14ac:dyDescent="0.35">
      <c r="A94" s="145"/>
      <c r="B94" s="145" t="s">
        <v>9</v>
      </c>
      <c r="C94" s="271">
        <v>189</v>
      </c>
      <c r="D94" s="20">
        <f t="shared" ref="D94:D95" si="215">ROUND(C94/12,2)</f>
        <v>15.75</v>
      </c>
      <c r="E94" s="20">
        <f t="shared" ref="E94:E95" si="216">D94*1.8</f>
        <v>28.35</v>
      </c>
      <c r="F94" s="21"/>
      <c r="G94" s="81">
        <v>147</v>
      </c>
      <c r="H94" s="20">
        <f t="shared" ref="H94:H95" si="217">ROUND(G94/12,2)</f>
        <v>12.25</v>
      </c>
      <c r="I94" s="20">
        <f t="shared" ref="I94:I95" si="218">H94*1.8</f>
        <v>22.05</v>
      </c>
      <c r="J94" s="21"/>
      <c r="K94" s="82">
        <v>54</v>
      </c>
      <c r="L94" s="20">
        <f t="shared" ref="L94:L95" si="219">ROUND(K94/12,2)</f>
        <v>4.5</v>
      </c>
      <c r="M94" s="20">
        <f t="shared" ref="M94:M95" si="220">L94*1.8</f>
        <v>8.1</v>
      </c>
      <c r="N94" s="21"/>
      <c r="O94" s="22">
        <f t="shared" si="214"/>
        <v>390</v>
      </c>
      <c r="P94" s="22">
        <f t="shared" ref="P94:P95" si="221">ROUND(O94/24,2)</f>
        <v>16.25</v>
      </c>
      <c r="Q94" s="22">
        <f t="shared" ref="Q94:Q95" si="222">P94*1.8</f>
        <v>29.25</v>
      </c>
      <c r="R94" s="23"/>
    </row>
    <row r="95" spans="1:18" ht="18.75" customHeight="1" x14ac:dyDescent="0.35">
      <c r="A95" s="145"/>
      <c r="B95" s="145" t="s">
        <v>10</v>
      </c>
      <c r="C95" s="271"/>
      <c r="D95" s="20">
        <f t="shared" si="215"/>
        <v>0</v>
      </c>
      <c r="E95" s="20">
        <f t="shared" si="216"/>
        <v>0</v>
      </c>
      <c r="F95" s="21"/>
      <c r="G95" s="81"/>
      <c r="H95" s="20">
        <f t="shared" si="217"/>
        <v>0</v>
      </c>
      <c r="I95" s="20">
        <f t="shared" si="218"/>
        <v>0</v>
      </c>
      <c r="J95" s="21"/>
      <c r="K95" s="82"/>
      <c r="L95" s="20">
        <f t="shared" si="219"/>
        <v>0</v>
      </c>
      <c r="M95" s="20">
        <f t="shared" si="220"/>
        <v>0</v>
      </c>
      <c r="N95" s="21"/>
      <c r="O95" s="22">
        <f t="shared" si="214"/>
        <v>0</v>
      </c>
      <c r="P95" s="22">
        <f t="shared" si="221"/>
        <v>0</v>
      </c>
      <c r="Q95" s="22">
        <f t="shared" si="222"/>
        <v>0</v>
      </c>
      <c r="R95" s="23"/>
    </row>
    <row r="96" spans="1:18" ht="18.75" customHeight="1" x14ac:dyDescent="0.35">
      <c r="A96" s="145" t="s">
        <v>39</v>
      </c>
      <c r="B96" s="145" t="s">
        <v>8</v>
      </c>
      <c r="C96" s="271">
        <v>2007</v>
      </c>
      <c r="D96" s="20">
        <f>ROUND(C96/18,2)</f>
        <v>111.5</v>
      </c>
      <c r="E96" s="20"/>
      <c r="F96" s="21">
        <f>SUM(D96,E97:E98)</f>
        <v>111.5</v>
      </c>
      <c r="G96" s="81">
        <v>2067</v>
      </c>
      <c r="H96" s="20">
        <f>ROUND(G96/18,2)</f>
        <v>114.83</v>
      </c>
      <c r="I96" s="20"/>
      <c r="J96" s="21">
        <f>SUM(H96,I97:I98)</f>
        <v>114.83</v>
      </c>
      <c r="K96" s="82">
        <v>615</v>
      </c>
      <c r="L96" s="20">
        <f>ROUND(K96/18,2)</f>
        <v>34.17</v>
      </c>
      <c r="M96" s="20"/>
      <c r="N96" s="21">
        <f>SUM(L96,M97:M98)</f>
        <v>34.17</v>
      </c>
      <c r="O96" s="22">
        <f t="shared" si="214"/>
        <v>4689</v>
      </c>
      <c r="P96" s="22">
        <f>ROUND(O96/36,2)</f>
        <v>130.25</v>
      </c>
      <c r="Q96" s="22"/>
      <c r="R96" s="23">
        <f>SUM(P96,Q97:Q98)</f>
        <v>130.25</v>
      </c>
    </row>
    <row r="97" spans="1:18" ht="18.75" customHeight="1" x14ac:dyDescent="0.35">
      <c r="A97" s="145"/>
      <c r="B97" s="145" t="s">
        <v>9</v>
      </c>
      <c r="C97" s="271"/>
      <c r="D97" s="20">
        <f t="shared" ref="D97:D98" si="223">ROUND(C97/12,2)</f>
        <v>0</v>
      </c>
      <c r="E97" s="20">
        <f t="shared" ref="E97:E98" si="224">D97*1.8</f>
        <v>0</v>
      </c>
      <c r="F97" s="21"/>
      <c r="G97" s="81"/>
      <c r="H97" s="20">
        <f t="shared" ref="H97:H98" si="225">ROUND(G97/12,2)</f>
        <v>0</v>
      </c>
      <c r="I97" s="20">
        <f t="shared" ref="I97:I98" si="226">H97*1.8</f>
        <v>0</v>
      </c>
      <c r="J97" s="21"/>
      <c r="K97" s="82"/>
      <c r="L97" s="20">
        <f t="shared" ref="L97:L98" si="227">ROUND(K97/12,2)</f>
        <v>0</v>
      </c>
      <c r="M97" s="20">
        <f t="shared" ref="M97:M98" si="228">L97*1.8</f>
        <v>0</v>
      </c>
      <c r="N97" s="21"/>
      <c r="O97" s="22">
        <f t="shared" si="214"/>
        <v>0</v>
      </c>
      <c r="P97" s="22">
        <f t="shared" ref="P97:P98" si="229">ROUND(O97/24,2)</f>
        <v>0</v>
      </c>
      <c r="Q97" s="22">
        <f t="shared" ref="Q97:Q98" si="230">P97*1.8</f>
        <v>0</v>
      </c>
      <c r="R97" s="23"/>
    </row>
    <row r="98" spans="1:18" ht="18.75" customHeight="1" x14ac:dyDescent="0.35">
      <c r="A98" s="145"/>
      <c r="B98" s="145" t="s">
        <v>10</v>
      </c>
      <c r="C98" s="271"/>
      <c r="D98" s="20">
        <f t="shared" si="223"/>
        <v>0</v>
      </c>
      <c r="E98" s="20">
        <f t="shared" si="224"/>
        <v>0</v>
      </c>
      <c r="F98" s="21"/>
      <c r="G98" s="81"/>
      <c r="H98" s="20">
        <f t="shared" si="225"/>
        <v>0</v>
      </c>
      <c r="I98" s="20">
        <f t="shared" si="226"/>
        <v>0</v>
      </c>
      <c r="J98" s="21"/>
      <c r="K98" s="82"/>
      <c r="L98" s="20">
        <f t="shared" si="227"/>
        <v>0</v>
      </c>
      <c r="M98" s="20">
        <f t="shared" si="228"/>
        <v>0</v>
      </c>
      <c r="N98" s="21"/>
      <c r="O98" s="22">
        <f t="shared" si="214"/>
        <v>0</v>
      </c>
      <c r="P98" s="22">
        <f t="shared" si="229"/>
        <v>0</v>
      </c>
      <c r="Q98" s="22">
        <f t="shared" si="230"/>
        <v>0</v>
      </c>
      <c r="R98" s="23"/>
    </row>
    <row r="99" spans="1:18" ht="18.75" customHeight="1" x14ac:dyDescent="0.35">
      <c r="A99" s="145" t="s">
        <v>40</v>
      </c>
      <c r="B99" s="145" t="s">
        <v>8</v>
      </c>
      <c r="C99" s="271">
        <v>4378</v>
      </c>
      <c r="D99" s="20">
        <f>ROUND(C99/18,2)</f>
        <v>243.22</v>
      </c>
      <c r="E99" s="20"/>
      <c r="F99" s="21">
        <f>SUM(D99,E100:E101)</f>
        <v>415.87600000000003</v>
      </c>
      <c r="G99" s="81">
        <v>4138</v>
      </c>
      <c r="H99" s="20">
        <f>ROUND(G99/18,2)</f>
        <v>229.89</v>
      </c>
      <c r="I99" s="20"/>
      <c r="J99" s="21">
        <f>SUM(H99,I100:I101)</f>
        <v>367.14</v>
      </c>
      <c r="K99" s="82">
        <v>2278</v>
      </c>
      <c r="L99" s="20">
        <f>ROUND(K99/18,2)</f>
        <v>126.56</v>
      </c>
      <c r="M99" s="20"/>
      <c r="N99" s="21">
        <f>SUM(L99,M100:M101)</f>
        <v>150.85999999999999</v>
      </c>
      <c r="O99" s="22">
        <f t="shared" si="214"/>
        <v>10794</v>
      </c>
      <c r="P99" s="22">
        <f>ROUND(O99/36,2)</f>
        <v>299.83</v>
      </c>
      <c r="Q99" s="22"/>
      <c r="R99" s="23">
        <f>SUM(P99,Q100:Q101)</f>
        <v>466.94200000000001</v>
      </c>
    </row>
    <row r="100" spans="1:18" ht="18.75" customHeight="1" x14ac:dyDescent="0.35">
      <c r="A100" s="145"/>
      <c r="B100" s="145" t="s">
        <v>9</v>
      </c>
      <c r="C100" s="271">
        <v>1052</v>
      </c>
      <c r="D100" s="20">
        <f t="shared" ref="D100:D101" si="231">ROUND(C100/12,2)</f>
        <v>87.67</v>
      </c>
      <c r="E100" s="20">
        <f t="shared" ref="E100:E101" si="232">D100*1.8</f>
        <v>157.80600000000001</v>
      </c>
      <c r="F100" s="21"/>
      <c r="G100" s="81">
        <v>831</v>
      </c>
      <c r="H100" s="20">
        <f t="shared" ref="H100:H101" si="233">ROUND(G100/12,2)</f>
        <v>69.25</v>
      </c>
      <c r="I100" s="20">
        <f t="shared" ref="I100:I101" si="234">H100*1.8</f>
        <v>124.65</v>
      </c>
      <c r="J100" s="21"/>
      <c r="K100" s="82">
        <v>78</v>
      </c>
      <c r="L100" s="20">
        <f t="shared" ref="L100:L101" si="235">ROUND(K100/12,2)</f>
        <v>6.5</v>
      </c>
      <c r="M100" s="20">
        <f t="shared" ref="M100:M101" si="236">L100*1.8</f>
        <v>11.700000000000001</v>
      </c>
      <c r="N100" s="21"/>
      <c r="O100" s="22">
        <f t="shared" si="214"/>
        <v>1961</v>
      </c>
      <c r="P100" s="22">
        <f t="shared" ref="P100:P101" si="237">ROUND(O100/24,2)</f>
        <v>81.709999999999994</v>
      </c>
      <c r="Q100" s="22">
        <f t="shared" ref="Q100:Q101" si="238">P100*1.8</f>
        <v>147.078</v>
      </c>
      <c r="R100" s="23"/>
    </row>
    <row r="101" spans="1:18" ht="18.75" customHeight="1" x14ac:dyDescent="0.35">
      <c r="A101" s="145"/>
      <c r="B101" s="145" t="s">
        <v>10</v>
      </c>
      <c r="C101" s="271">
        <v>99</v>
      </c>
      <c r="D101" s="20">
        <f t="shared" si="231"/>
        <v>8.25</v>
      </c>
      <c r="E101" s="20">
        <f t="shared" si="232"/>
        <v>14.85</v>
      </c>
      <c r="F101" s="21"/>
      <c r="G101" s="81">
        <v>84</v>
      </c>
      <c r="H101" s="20">
        <f t="shared" si="233"/>
        <v>7</v>
      </c>
      <c r="I101" s="20">
        <f t="shared" si="234"/>
        <v>12.6</v>
      </c>
      <c r="J101" s="21"/>
      <c r="K101" s="82">
        <v>84</v>
      </c>
      <c r="L101" s="20">
        <f t="shared" si="235"/>
        <v>7</v>
      </c>
      <c r="M101" s="20">
        <f t="shared" si="236"/>
        <v>12.6</v>
      </c>
      <c r="N101" s="21"/>
      <c r="O101" s="22">
        <f t="shared" si="214"/>
        <v>267</v>
      </c>
      <c r="P101" s="22">
        <f t="shared" si="237"/>
        <v>11.13</v>
      </c>
      <c r="Q101" s="22">
        <f t="shared" si="238"/>
        <v>20.034000000000002</v>
      </c>
      <c r="R101" s="23"/>
    </row>
    <row r="102" spans="1:18" ht="18.75" customHeight="1" x14ac:dyDescent="0.35">
      <c r="A102" s="173" t="s">
        <v>22</v>
      </c>
      <c r="B102" s="151" t="s">
        <v>8</v>
      </c>
      <c r="C102" s="93">
        <f>SUMIF($B$92:$B$101,"ปริญญาตรี",C92:C101)</f>
        <v>12425</v>
      </c>
      <c r="D102" s="32">
        <f>ROUND(C102/18,2)</f>
        <v>690.28</v>
      </c>
      <c r="E102" s="32"/>
      <c r="F102" s="33">
        <f>SUM(D102,E103:E104)</f>
        <v>891.28599999999994</v>
      </c>
      <c r="G102" s="93">
        <f>SUMIF($B$92:$B$101,"ปริญญาตรี",G92:G101)</f>
        <v>11038</v>
      </c>
      <c r="H102" s="32">
        <f>ROUND(G102/18,2)</f>
        <v>613.22</v>
      </c>
      <c r="I102" s="32"/>
      <c r="J102" s="33">
        <f>SUM(H102,I103:I104)</f>
        <v>772.5200000000001</v>
      </c>
      <c r="K102" s="95">
        <f>SUMIF($B$92:$B$101,"ปริญญาตรี",K92:K101)</f>
        <v>3621</v>
      </c>
      <c r="L102" s="32">
        <f>ROUND(K102/18,2)</f>
        <v>201.17</v>
      </c>
      <c r="M102" s="32"/>
      <c r="N102" s="33">
        <f>SUM(L102,M103:M104)</f>
        <v>233.57</v>
      </c>
      <c r="O102" s="136">
        <f t="shared" si="214"/>
        <v>27084</v>
      </c>
      <c r="P102" s="34">
        <f>ROUND(O102/36,2)</f>
        <v>752.33</v>
      </c>
      <c r="Q102" s="34"/>
      <c r="R102" s="23">
        <f>SUM(P102,Q103:Q104)</f>
        <v>948.69200000000001</v>
      </c>
    </row>
    <row r="103" spans="1:18" ht="18.75" customHeight="1" x14ac:dyDescent="0.35">
      <c r="A103" s="174" t="s">
        <v>22</v>
      </c>
      <c r="B103" s="151" t="s">
        <v>9</v>
      </c>
      <c r="C103" s="93">
        <f>SUMIF($B$92:$B$101,"ปริญญาโท",C92:C101)</f>
        <v>1241</v>
      </c>
      <c r="D103" s="32">
        <f t="shared" ref="D103:D104" si="239">ROUND(C103/12,2)</f>
        <v>103.42</v>
      </c>
      <c r="E103" s="32">
        <f t="shared" ref="E103:E104" si="240">D103*1.8</f>
        <v>186.15600000000001</v>
      </c>
      <c r="F103" s="33"/>
      <c r="G103" s="93">
        <f>SUMIF($B$92:$B$101,"ปริญญาโท",G92:G101)</f>
        <v>978</v>
      </c>
      <c r="H103" s="32">
        <f t="shared" ref="H103:H104" si="241">ROUND(G103/12,2)</f>
        <v>81.5</v>
      </c>
      <c r="I103" s="32">
        <f t="shared" ref="I103:I104" si="242">H103*1.8</f>
        <v>146.70000000000002</v>
      </c>
      <c r="J103" s="33"/>
      <c r="K103" s="95">
        <f>SUMIF($B$92:$B$101,"ปริญญาโท",K92:K101)</f>
        <v>132</v>
      </c>
      <c r="L103" s="32">
        <f t="shared" ref="L103:L104" si="243">ROUND(K103/12,2)</f>
        <v>11</v>
      </c>
      <c r="M103" s="32">
        <f t="shared" ref="M103:M104" si="244">L103*1.8</f>
        <v>19.8</v>
      </c>
      <c r="N103" s="33"/>
      <c r="O103" s="136">
        <f t="shared" si="214"/>
        <v>2351</v>
      </c>
      <c r="P103" s="34">
        <f t="shared" ref="P103:P104" si="245">ROUND(O103/24,2)</f>
        <v>97.96</v>
      </c>
      <c r="Q103" s="34">
        <f t="shared" ref="Q103:Q104" si="246">P103*1.8</f>
        <v>176.328</v>
      </c>
      <c r="R103" s="23"/>
    </row>
    <row r="104" spans="1:18" ht="18.75" customHeight="1" thickBot="1" x14ac:dyDescent="0.4">
      <c r="A104" s="175" t="s">
        <v>22</v>
      </c>
      <c r="B104" s="152" t="s">
        <v>10</v>
      </c>
      <c r="C104" s="94">
        <f>SUMIF($B$92:$B$101,"ปริญญาเอก",C92:C101)</f>
        <v>99</v>
      </c>
      <c r="D104" s="35">
        <f t="shared" si="239"/>
        <v>8.25</v>
      </c>
      <c r="E104" s="35">
        <f t="shared" si="240"/>
        <v>14.85</v>
      </c>
      <c r="F104" s="36"/>
      <c r="G104" s="94">
        <f>SUMIF($B$92:$B$101,"ปริญญาเอก",G92:G101)</f>
        <v>84</v>
      </c>
      <c r="H104" s="35">
        <f t="shared" si="241"/>
        <v>7</v>
      </c>
      <c r="I104" s="35">
        <f t="shared" si="242"/>
        <v>12.6</v>
      </c>
      <c r="J104" s="36"/>
      <c r="K104" s="96">
        <f>SUMIF($B$92:$B$101,"ปริญญาเอก",K92:K101)</f>
        <v>84</v>
      </c>
      <c r="L104" s="35">
        <f t="shared" si="243"/>
        <v>7</v>
      </c>
      <c r="M104" s="35">
        <f t="shared" si="244"/>
        <v>12.6</v>
      </c>
      <c r="N104" s="36"/>
      <c r="O104" s="137">
        <f t="shared" si="214"/>
        <v>267</v>
      </c>
      <c r="P104" s="37">
        <f t="shared" si="245"/>
        <v>11.13</v>
      </c>
      <c r="Q104" s="37">
        <f t="shared" si="246"/>
        <v>20.034000000000002</v>
      </c>
      <c r="R104" s="27"/>
    </row>
    <row r="105" spans="1:18" ht="18.75" customHeight="1" x14ac:dyDescent="0.35">
      <c r="A105" s="148" t="s">
        <v>41</v>
      </c>
      <c r="B105" s="149"/>
      <c r="C105" s="80"/>
      <c r="D105" s="28"/>
      <c r="E105" s="28"/>
      <c r="F105" s="29"/>
      <c r="G105" s="79"/>
      <c r="H105" s="28"/>
      <c r="I105" s="28"/>
      <c r="J105" s="29"/>
      <c r="K105" s="80"/>
      <c r="L105" s="28"/>
      <c r="M105" s="28"/>
      <c r="N105" s="29"/>
      <c r="O105" s="66"/>
      <c r="P105" s="30"/>
      <c r="Q105" s="30"/>
      <c r="R105" s="31"/>
    </row>
    <row r="106" spans="1:18" ht="18.75" customHeight="1" x14ac:dyDescent="0.35">
      <c r="A106" s="145" t="s">
        <v>7</v>
      </c>
      <c r="B106" s="145" t="s">
        <v>8</v>
      </c>
      <c r="C106" s="271">
        <v>1356</v>
      </c>
      <c r="D106" s="20">
        <f>ROUND(C106/18,2)</f>
        <v>75.33</v>
      </c>
      <c r="E106" s="20"/>
      <c r="F106" s="21">
        <f>SUM(D106,E107:E108)</f>
        <v>137.67000000000002</v>
      </c>
      <c r="G106" s="81">
        <v>1424</v>
      </c>
      <c r="H106" s="20">
        <f>ROUND(G106/18,2)</f>
        <v>79.11</v>
      </c>
      <c r="I106" s="20"/>
      <c r="J106" s="21">
        <f>SUM(H106,I107:I108)</f>
        <v>139.11000000000001</v>
      </c>
      <c r="K106" s="140">
        <v>870</v>
      </c>
      <c r="L106" s="20">
        <f>ROUND(K106/18,2)</f>
        <v>48.33</v>
      </c>
      <c r="M106" s="20"/>
      <c r="N106" s="21">
        <f>SUM(L106,M107:M108)</f>
        <v>63.83</v>
      </c>
      <c r="O106" s="22">
        <f t="shared" ref="O106:O108" si="247">SUMIF($C$3:$N$3,"SCH",C106:N106)</f>
        <v>3650</v>
      </c>
      <c r="P106" s="22">
        <f>ROUND(O106/36,2)</f>
        <v>101.39</v>
      </c>
      <c r="Q106" s="22"/>
      <c r="R106" s="23">
        <f>SUM(P106,Q107:Q108)</f>
        <v>170.31</v>
      </c>
    </row>
    <row r="107" spans="1:18" ht="18.75" customHeight="1" x14ac:dyDescent="0.35">
      <c r="A107" s="176"/>
      <c r="B107" s="145" t="s">
        <v>9</v>
      </c>
      <c r="C107" s="271">
        <v>374</v>
      </c>
      <c r="D107" s="20">
        <f t="shared" ref="D107:D108" si="248">ROUND(C107/12,2)</f>
        <v>31.17</v>
      </c>
      <c r="E107" s="20">
        <f t="shared" ref="E107:E108" si="249">D107*2</f>
        <v>62.34</v>
      </c>
      <c r="F107" s="21"/>
      <c r="G107" s="81">
        <v>360</v>
      </c>
      <c r="H107" s="20">
        <f t="shared" ref="H107:H108" si="250">ROUND(G107/12,2)</f>
        <v>30</v>
      </c>
      <c r="I107" s="20">
        <f t="shared" ref="I107:I108" si="251">H107*2</f>
        <v>60</v>
      </c>
      <c r="J107" s="21"/>
      <c r="K107" s="82">
        <v>93</v>
      </c>
      <c r="L107" s="20">
        <f t="shared" ref="L107:L108" si="252">ROUND(K107/12,2)</f>
        <v>7.75</v>
      </c>
      <c r="M107" s="20">
        <f t="shared" ref="M107:M108" si="253">L107*2</f>
        <v>15.5</v>
      </c>
      <c r="N107" s="21"/>
      <c r="O107" s="22">
        <f t="shared" si="247"/>
        <v>827</v>
      </c>
      <c r="P107" s="22">
        <f t="shared" ref="P107:P108" si="254">ROUND(O107/24,2)</f>
        <v>34.46</v>
      </c>
      <c r="Q107" s="22">
        <f t="shared" ref="Q107:Q108" si="255">P107*2</f>
        <v>68.92</v>
      </c>
      <c r="R107" s="23"/>
    </row>
    <row r="108" spans="1:18" ht="18.75" customHeight="1" thickBot="1" x14ac:dyDescent="0.4">
      <c r="A108" s="164"/>
      <c r="B108" s="146" t="s">
        <v>10</v>
      </c>
      <c r="C108" s="272"/>
      <c r="D108" s="24">
        <f t="shared" si="248"/>
        <v>0</v>
      </c>
      <c r="E108" s="24">
        <f t="shared" si="249"/>
        <v>0</v>
      </c>
      <c r="F108" s="25"/>
      <c r="G108" s="83"/>
      <c r="H108" s="24">
        <f t="shared" si="250"/>
        <v>0</v>
      </c>
      <c r="I108" s="24">
        <f t="shared" si="251"/>
        <v>0</v>
      </c>
      <c r="J108" s="25"/>
      <c r="K108" s="84"/>
      <c r="L108" s="24">
        <f t="shared" si="252"/>
        <v>0</v>
      </c>
      <c r="M108" s="24">
        <f t="shared" si="253"/>
        <v>0</v>
      </c>
      <c r="N108" s="25"/>
      <c r="O108" s="92">
        <f t="shared" si="247"/>
        <v>0</v>
      </c>
      <c r="P108" s="26">
        <f t="shared" si="254"/>
        <v>0</v>
      </c>
      <c r="Q108" s="26">
        <f t="shared" si="255"/>
        <v>0</v>
      </c>
      <c r="R108" s="27"/>
    </row>
    <row r="109" spans="1:18" ht="18.75" customHeight="1" x14ac:dyDescent="0.35">
      <c r="A109" s="148" t="s">
        <v>42</v>
      </c>
      <c r="B109" s="149"/>
      <c r="C109" s="274"/>
      <c r="D109" s="28"/>
      <c r="E109" s="28"/>
      <c r="F109" s="29"/>
      <c r="G109" s="79"/>
      <c r="H109" s="28"/>
      <c r="I109" s="28"/>
      <c r="J109" s="29"/>
      <c r="K109" s="80"/>
      <c r="L109" s="28"/>
      <c r="M109" s="28"/>
      <c r="N109" s="29"/>
      <c r="O109" s="66"/>
      <c r="P109" s="30"/>
      <c r="Q109" s="30"/>
      <c r="R109" s="31"/>
    </row>
    <row r="110" spans="1:18" ht="18.75" customHeight="1" x14ac:dyDescent="0.35">
      <c r="A110" s="145" t="s">
        <v>7</v>
      </c>
      <c r="B110" s="145" t="s">
        <v>8</v>
      </c>
      <c r="C110" s="271">
        <v>135</v>
      </c>
      <c r="D110" s="20">
        <f>ROUND(C110/18,2)</f>
        <v>7.5</v>
      </c>
      <c r="E110" s="20"/>
      <c r="F110" s="21">
        <f>SUM(D110,E111:E112)</f>
        <v>7.5</v>
      </c>
      <c r="G110" s="81">
        <v>1208</v>
      </c>
      <c r="H110" s="20">
        <f>ROUND(G110/18,2)</f>
        <v>67.11</v>
      </c>
      <c r="I110" s="20"/>
      <c r="J110" s="21">
        <f>SUM(H110,I111:I112)</f>
        <v>67.11</v>
      </c>
      <c r="K110" s="82"/>
      <c r="L110" s="20">
        <f>ROUND(K110/18,2)</f>
        <v>0</v>
      </c>
      <c r="M110" s="20"/>
      <c r="N110" s="21">
        <f>SUM(L110,M111:M112)</f>
        <v>0</v>
      </c>
      <c r="O110" s="22">
        <f t="shared" ref="O110:O112" si="256">SUMIF($C$3:$N$3,"SCH",C110:N110)</f>
        <v>1343</v>
      </c>
      <c r="P110" s="22">
        <f>ROUND(O110/36,2)</f>
        <v>37.31</v>
      </c>
      <c r="Q110" s="22"/>
      <c r="R110" s="23">
        <f>SUM(P110,Q111:Q112)</f>
        <v>37.31</v>
      </c>
    </row>
    <row r="111" spans="1:18" ht="18.75" customHeight="1" x14ac:dyDescent="0.35">
      <c r="A111" s="176"/>
      <c r="B111" s="145" t="s">
        <v>9</v>
      </c>
      <c r="C111" s="271"/>
      <c r="D111" s="20">
        <f t="shared" ref="D111:D112" si="257">ROUND(C111/12,2)</f>
        <v>0</v>
      </c>
      <c r="E111" s="20">
        <f t="shared" ref="E111:E112" si="258">D111*2</f>
        <v>0</v>
      </c>
      <c r="F111" s="21"/>
      <c r="G111" s="81"/>
      <c r="H111" s="20">
        <f t="shared" ref="H111:H112" si="259">ROUND(G111/12,2)</f>
        <v>0</v>
      </c>
      <c r="I111" s="20">
        <f t="shared" ref="I111:I112" si="260">H111*2</f>
        <v>0</v>
      </c>
      <c r="J111" s="21"/>
      <c r="K111" s="82"/>
      <c r="L111" s="20">
        <f t="shared" ref="L111:L112" si="261">ROUND(K111/12,2)</f>
        <v>0</v>
      </c>
      <c r="M111" s="20">
        <f t="shared" ref="M111:M112" si="262">L111*2</f>
        <v>0</v>
      </c>
      <c r="N111" s="21"/>
      <c r="O111" s="22">
        <f t="shared" si="256"/>
        <v>0</v>
      </c>
      <c r="P111" s="22">
        <f t="shared" ref="P111:P112" si="263">ROUND(O111/24,2)</f>
        <v>0</v>
      </c>
      <c r="Q111" s="22">
        <f t="shared" ref="Q111:Q112" si="264">P111*2</f>
        <v>0</v>
      </c>
      <c r="R111" s="23"/>
    </row>
    <row r="112" spans="1:18" ht="18.75" customHeight="1" thickBot="1" x14ac:dyDescent="0.4">
      <c r="A112" s="164"/>
      <c r="B112" s="146" t="s">
        <v>10</v>
      </c>
      <c r="C112" s="272"/>
      <c r="D112" s="24">
        <f t="shared" si="257"/>
        <v>0</v>
      </c>
      <c r="E112" s="24">
        <f t="shared" si="258"/>
        <v>0</v>
      </c>
      <c r="F112" s="25"/>
      <c r="G112" s="83"/>
      <c r="H112" s="24">
        <f t="shared" si="259"/>
        <v>0</v>
      </c>
      <c r="I112" s="24">
        <f t="shared" si="260"/>
        <v>0</v>
      </c>
      <c r="J112" s="25"/>
      <c r="K112" s="84"/>
      <c r="L112" s="24">
        <f t="shared" si="261"/>
        <v>0</v>
      </c>
      <c r="M112" s="24">
        <f t="shared" si="262"/>
        <v>0</v>
      </c>
      <c r="N112" s="25"/>
      <c r="O112" s="92">
        <f t="shared" si="256"/>
        <v>0</v>
      </c>
      <c r="P112" s="26">
        <f t="shared" si="263"/>
        <v>0</v>
      </c>
      <c r="Q112" s="26">
        <f t="shared" si="264"/>
        <v>0</v>
      </c>
      <c r="R112" s="27"/>
    </row>
    <row r="113" spans="1:18" ht="18.75" customHeight="1" x14ac:dyDescent="0.35">
      <c r="A113" s="148" t="s">
        <v>43</v>
      </c>
      <c r="B113" s="149"/>
      <c r="C113" s="274"/>
      <c r="D113" s="28"/>
      <c r="E113" s="28"/>
      <c r="F113" s="29"/>
      <c r="G113" s="79"/>
      <c r="H113" s="28"/>
      <c r="I113" s="28"/>
      <c r="J113" s="29"/>
      <c r="K113" s="80"/>
      <c r="L113" s="28"/>
      <c r="M113" s="28"/>
      <c r="N113" s="29"/>
      <c r="O113" s="30"/>
      <c r="P113" s="30"/>
      <c r="Q113" s="30"/>
      <c r="R113" s="31"/>
    </row>
    <row r="114" spans="1:18" ht="18.75" customHeight="1" x14ac:dyDescent="0.35">
      <c r="A114" s="145" t="s">
        <v>44</v>
      </c>
      <c r="B114" s="145" t="s">
        <v>8</v>
      </c>
      <c r="C114" s="271">
        <v>2249</v>
      </c>
      <c r="D114" s="20">
        <f>ROUND(C114/18,2)</f>
        <v>124.94</v>
      </c>
      <c r="E114" s="20"/>
      <c r="F114" s="21">
        <f>SUM(D114,E115:E116)</f>
        <v>124.94</v>
      </c>
      <c r="G114" s="81"/>
      <c r="H114" s="20">
        <f>ROUND(G114/18,2)</f>
        <v>0</v>
      </c>
      <c r="I114" s="20"/>
      <c r="J114" s="21">
        <f>SUM(H114,I115:I116)</f>
        <v>0</v>
      </c>
      <c r="K114" s="82"/>
      <c r="L114" s="20">
        <f>ROUND(K114/18,2)</f>
        <v>0</v>
      </c>
      <c r="M114" s="20"/>
      <c r="N114" s="21">
        <f>SUM(L114,M115:M116)</f>
        <v>4.66</v>
      </c>
      <c r="O114" s="22">
        <f t="shared" ref="O114:O146" si="265">SUMIF($C$3:$N$3,"SCH",C114:N114)</f>
        <v>2249</v>
      </c>
      <c r="P114" s="22">
        <f>ROUND(O114/36,2)</f>
        <v>62.47</v>
      </c>
      <c r="Q114" s="22"/>
      <c r="R114" s="23">
        <f>SUM(P114,Q115:Q116)</f>
        <v>64.81</v>
      </c>
    </row>
    <row r="115" spans="1:18" ht="18.75" customHeight="1" x14ac:dyDescent="0.35">
      <c r="A115" s="145"/>
      <c r="B115" s="145" t="s">
        <v>9</v>
      </c>
      <c r="C115" s="271"/>
      <c r="D115" s="20">
        <f t="shared" ref="D115:D116" si="266">ROUND(C115/12,2)</f>
        <v>0</v>
      </c>
      <c r="E115" s="20">
        <f t="shared" ref="E115:E116" si="267">D115*2</f>
        <v>0</v>
      </c>
      <c r="F115" s="21"/>
      <c r="G115" s="81"/>
      <c r="H115" s="20">
        <f t="shared" ref="H115:H116" si="268">ROUND(G115/12,2)</f>
        <v>0</v>
      </c>
      <c r="I115" s="20">
        <f t="shared" ref="I115:I116" si="269">H115*2</f>
        <v>0</v>
      </c>
      <c r="J115" s="21"/>
      <c r="K115" s="82">
        <v>28</v>
      </c>
      <c r="L115" s="20">
        <f t="shared" ref="L115:L116" si="270">ROUND(K115/12,2)</f>
        <v>2.33</v>
      </c>
      <c r="M115" s="20">
        <f t="shared" ref="M115:M116" si="271">L115*2</f>
        <v>4.66</v>
      </c>
      <c r="N115" s="21"/>
      <c r="O115" s="22">
        <f t="shared" si="265"/>
        <v>28</v>
      </c>
      <c r="P115" s="22">
        <f t="shared" ref="P115:P116" si="272">ROUND(O115/24,2)</f>
        <v>1.17</v>
      </c>
      <c r="Q115" s="22">
        <f t="shared" ref="Q115:Q116" si="273">P115*2</f>
        <v>2.34</v>
      </c>
      <c r="R115" s="23"/>
    </row>
    <row r="116" spans="1:18" ht="18.75" customHeight="1" x14ac:dyDescent="0.35">
      <c r="A116" s="145"/>
      <c r="B116" s="145" t="s">
        <v>10</v>
      </c>
      <c r="C116" s="271"/>
      <c r="D116" s="20">
        <f t="shared" si="266"/>
        <v>0</v>
      </c>
      <c r="E116" s="20">
        <f t="shared" si="267"/>
        <v>0</v>
      </c>
      <c r="F116" s="21"/>
      <c r="G116" s="81"/>
      <c r="H116" s="20">
        <f t="shared" si="268"/>
        <v>0</v>
      </c>
      <c r="I116" s="20">
        <f t="shared" si="269"/>
        <v>0</v>
      </c>
      <c r="J116" s="21"/>
      <c r="K116" s="82"/>
      <c r="L116" s="20">
        <f t="shared" si="270"/>
        <v>0</v>
      </c>
      <c r="M116" s="20">
        <f t="shared" si="271"/>
        <v>0</v>
      </c>
      <c r="N116" s="21"/>
      <c r="O116" s="22">
        <f t="shared" si="265"/>
        <v>0</v>
      </c>
      <c r="P116" s="22">
        <f t="shared" si="272"/>
        <v>0</v>
      </c>
      <c r="Q116" s="22">
        <f t="shared" si="273"/>
        <v>0</v>
      </c>
      <c r="R116" s="23"/>
    </row>
    <row r="117" spans="1:18" ht="18.75" customHeight="1" x14ac:dyDescent="0.35">
      <c r="A117" s="145" t="s">
        <v>45</v>
      </c>
      <c r="B117" s="145" t="s">
        <v>8</v>
      </c>
      <c r="C117" s="271"/>
      <c r="D117" s="20">
        <f>ROUND(C117/18,2)</f>
        <v>0</v>
      </c>
      <c r="E117" s="20"/>
      <c r="F117" s="21">
        <f>SUM(D117,E118:E119)</f>
        <v>0</v>
      </c>
      <c r="G117" s="81"/>
      <c r="H117" s="20">
        <f>ROUND(G117/18,2)</f>
        <v>0</v>
      </c>
      <c r="I117" s="20"/>
      <c r="J117" s="21">
        <f>SUM(H117,I118:I119)</f>
        <v>0</v>
      </c>
      <c r="K117" s="82"/>
      <c r="L117" s="20">
        <f>ROUND(K117/18,2)</f>
        <v>0</v>
      </c>
      <c r="M117" s="20"/>
      <c r="N117" s="21">
        <f>SUM(L117,M118:M119)</f>
        <v>0</v>
      </c>
      <c r="O117" s="22">
        <f t="shared" si="265"/>
        <v>0</v>
      </c>
      <c r="P117" s="22">
        <f>ROUND(O117/36,2)</f>
        <v>0</v>
      </c>
      <c r="Q117" s="22"/>
      <c r="R117" s="23">
        <f>SUM(P117,Q118:Q119)</f>
        <v>0</v>
      </c>
    </row>
    <row r="118" spans="1:18" ht="18.75" customHeight="1" x14ac:dyDescent="0.35">
      <c r="A118" s="145"/>
      <c r="B118" s="145" t="s">
        <v>9</v>
      </c>
      <c r="C118" s="271"/>
      <c r="D118" s="20">
        <f t="shared" ref="D118:D119" si="274">ROUND(C118/12,2)</f>
        <v>0</v>
      </c>
      <c r="E118" s="20">
        <f t="shared" ref="E118:E119" si="275">D118*2</f>
        <v>0</v>
      </c>
      <c r="F118" s="21"/>
      <c r="G118" s="81"/>
      <c r="H118" s="20">
        <f t="shared" ref="H118:H119" si="276">ROUND(G118/12,2)</f>
        <v>0</v>
      </c>
      <c r="I118" s="20">
        <f t="shared" ref="I118:I119" si="277">H118*2</f>
        <v>0</v>
      </c>
      <c r="J118" s="21"/>
      <c r="K118" s="82"/>
      <c r="L118" s="20">
        <f t="shared" ref="L118:L119" si="278">ROUND(K118/12,2)</f>
        <v>0</v>
      </c>
      <c r="M118" s="20">
        <f t="shared" ref="M118:M119" si="279">L118*2</f>
        <v>0</v>
      </c>
      <c r="N118" s="21"/>
      <c r="O118" s="22">
        <f t="shared" si="265"/>
        <v>0</v>
      </c>
      <c r="P118" s="22">
        <f t="shared" ref="P118:P119" si="280">ROUND(O118/24,2)</f>
        <v>0</v>
      </c>
      <c r="Q118" s="22">
        <f t="shared" ref="Q118:Q119" si="281">P118*2</f>
        <v>0</v>
      </c>
      <c r="R118" s="23"/>
    </row>
    <row r="119" spans="1:18" ht="18.75" customHeight="1" x14ac:dyDescent="0.35">
      <c r="A119" s="145"/>
      <c r="B119" s="145" t="s">
        <v>10</v>
      </c>
      <c r="C119" s="271"/>
      <c r="D119" s="20">
        <f t="shared" si="274"/>
        <v>0</v>
      </c>
      <c r="E119" s="20">
        <f t="shared" si="275"/>
        <v>0</v>
      </c>
      <c r="F119" s="21"/>
      <c r="G119" s="81"/>
      <c r="H119" s="20">
        <f t="shared" si="276"/>
        <v>0</v>
      </c>
      <c r="I119" s="20">
        <f t="shared" si="277"/>
        <v>0</v>
      </c>
      <c r="J119" s="21"/>
      <c r="K119" s="82"/>
      <c r="L119" s="20">
        <f t="shared" si="278"/>
        <v>0</v>
      </c>
      <c r="M119" s="20">
        <f t="shared" si="279"/>
        <v>0</v>
      </c>
      <c r="N119" s="21"/>
      <c r="O119" s="22">
        <f t="shared" si="265"/>
        <v>0</v>
      </c>
      <c r="P119" s="22">
        <f t="shared" si="280"/>
        <v>0</v>
      </c>
      <c r="Q119" s="22">
        <f t="shared" si="281"/>
        <v>0</v>
      </c>
      <c r="R119" s="23"/>
    </row>
    <row r="120" spans="1:18" ht="18.75" customHeight="1" x14ac:dyDescent="0.35">
      <c r="A120" s="145" t="s">
        <v>46</v>
      </c>
      <c r="B120" s="145" t="s">
        <v>8</v>
      </c>
      <c r="C120" s="271"/>
      <c r="D120" s="20">
        <f>ROUND(C120/18,2)</f>
        <v>0</v>
      </c>
      <c r="E120" s="20"/>
      <c r="F120" s="21">
        <f>SUM(D120,E121:E122)</f>
        <v>0</v>
      </c>
      <c r="G120" s="81"/>
      <c r="H120" s="20">
        <f>ROUND(G120/18,2)</f>
        <v>0</v>
      </c>
      <c r="I120" s="20"/>
      <c r="J120" s="21">
        <f>SUM(H120,I121:I122)</f>
        <v>0</v>
      </c>
      <c r="K120" s="82"/>
      <c r="L120" s="20">
        <f>ROUND(K120/18,2)</f>
        <v>0</v>
      </c>
      <c r="M120" s="20"/>
      <c r="N120" s="21">
        <f>SUM(L120,M121:M122)</f>
        <v>0</v>
      </c>
      <c r="O120" s="22">
        <f t="shared" si="265"/>
        <v>0</v>
      </c>
      <c r="P120" s="22">
        <f>ROUND(O120/36,2)</f>
        <v>0</v>
      </c>
      <c r="Q120" s="22"/>
      <c r="R120" s="23">
        <f>SUM(P120,Q121:Q122)</f>
        <v>0</v>
      </c>
    </row>
    <row r="121" spans="1:18" ht="18.75" customHeight="1" x14ac:dyDescent="0.35">
      <c r="A121" s="145"/>
      <c r="B121" s="145" t="s">
        <v>9</v>
      </c>
      <c r="C121" s="271"/>
      <c r="D121" s="20">
        <f t="shared" ref="D121:D122" si="282">ROUND(C121/12,2)</f>
        <v>0</v>
      </c>
      <c r="E121" s="20">
        <f t="shared" ref="E121:E122" si="283">D121*2</f>
        <v>0</v>
      </c>
      <c r="F121" s="21"/>
      <c r="G121" s="81"/>
      <c r="H121" s="20">
        <f t="shared" ref="H121:H122" si="284">ROUND(G121/12,2)</f>
        <v>0</v>
      </c>
      <c r="I121" s="20">
        <f t="shared" ref="I121:I122" si="285">H121*2</f>
        <v>0</v>
      </c>
      <c r="J121" s="21"/>
      <c r="K121" s="82"/>
      <c r="L121" s="20">
        <f t="shared" ref="L121:L122" si="286">ROUND(K121/12,2)</f>
        <v>0</v>
      </c>
      <c r="M121" s="20">
        <f t="shared" ref="M121:M122" si="287">L121*2</f>
        <v>0</v>
      </c>
      <c r="N121" s="21"/>
      <c r="O121" s="22">
        <f t="shared" si="265"/>
        <v>0</v>
      </c>
      <c r="P121" s="22">
        <f t="shared" ref="P121:P122" si="288">ROUND(O121/24,2)</f>
        <v>0</v>
      </c>
      <c r="Q121" s="22">
        <f t="shared" ref="Q121:Q122" si="289">P121*2</f>
        <v>0</v>
      </c>
      <c r="R121" s="23"/>
    </row>
    <row r="122" spans="1:18" ht="18.75" customHeight="1" x14ac:dyDescent="0.35">
      <c r="A122" s="145"/>
      <c r="B122" s="145" t="s">
        <v>10</v>
      </c>
      <c r="C122" s="271"/>
      <c r="D122" s="20">
        <f t="shared" si="282"/>
        <v>0</v>
      </c>
      <c r="E122" s="20">
        <f t="shared" si="283"/>
        <v>0</v>
      </c>
      <c r="F122" s="21"/>
      <c r="G122" s="81"/>
      <c r="H122" s="20">
        <f t="shared" si="284"/>
        <v>0</v>
      </c>
      <c r="I122" s="20">
        <f t="shared" si="285"/>
        <v>0</v>
      </c>
      <c r="J122" s="21"/>
      <c r="K122" s="82"/>
      <c r="L122" s="20">
        <f t="shared" si="286"/>
        <v>0</v>
      </c>
      <c r="M122" s="20">
        <f t="shared" si="287"/>
        <v>0</v>
      </c>
      <c r="N122" s="21"/>
      <c r="O122" s="22">
        <f t="shared" si="265"/>
        <v>0</v>
      </c>
      <c r="P122" s="22">
        <f t="shared" si="288"/>
        <v>0</v>
      </c>
      <c r="Q122" s="22">
        <f t="shared" si="289"/>
        <v>0</v>
      </c>
      <c r="R122" s="23"/>
    </row>
    <row r="123" spans="1:18" ht="18.75" customHeight="1" x14ac:dyDescent="0.35">
      <c r="A123" s="145" t="s">
        <v>47</v>
      </c>
      <c r="B123" s="145" t="s">
        <v>8</v>
      </c>
      <c r="C123" s="271"/>
      <c r="D123" s="20">
        <f>ROUND(C123/18,2)</f>
        <v>0</v>
      </c>
      <c r="E123" s="20"/>
      <c r="F123" s="21">
        <f>SUM(D123,E124:E125)</f>
        <v>0</v>
      </c>
      <c r="G123" s="81"/>
      <c r="H123" s="20">
        <f>ROUND(G123/18,2)</f>
        <v>0</v>
      </c>
      <c r="I123" s="20"/>
      <c r="J123" s="21">
        <f>SUM(H123,I124:I125)</f>
        <v>0</v>
      </c>
      <c r="K123" s="82"/>
      <c r="L123" s="20">
        <f>ROUND(K123/18,2)</f>
        <v>0</v>
      </c>
      <c r="M123" s="20"/>
      <c r="N123" s="21">
        <f>SUM(L123,M124:M125)</f>
        <v>0</v>
      </c>
      <c r="O123" s="22">
        <f t="shared" si="265"/>
        <v>0</v>
      </c>
      <c r="P123" s="22">
        <f>ROUND(O123/36,2)</f>
        <v>0</v>
      </c>
      <c r="Q123" s="22"/>
      <c r="R123" s="23">
        <f>SUM(P123,Q124:Q125)</f>
        <v>0</v>
      </c>
    </row>
    <row r="124" spans="1:18" ht="18.75" customHeight="1" x14ac:dyDescent="0.35">
      <c r="A124" s="145"/>
      <c r="B124" s="145" t="s">
        <v>9</v>
      </c>
      <c r="C124" s="271"/>
      <c r="D124" s="20">
        <f t="shared" ref="D124:D125" si="290">ROUND(C124/12,2)</f>
        <v>0</v>
      </c>
      <c r="E124" s="20">
        <f t="shared" ref="E124:E125" si="291">D124*2</f>
        <v>0</v>
      </c>
      <c r="F124" s="21"/>
      <c r="G124" s="81"/>
      <c r="H124" s="20">
        <f t="shared" ref="H124:H125" si="292">ROUND(G124/12,2)</f>
        <v>0</v>
      </c>
      <c r="I124" s="20">
        <f t="shared" ref="I124:I125" si="293">H124*2</f>
        <v>0</v>
      </c>
      <c r="J124" s="21"/>
      <c r="K124" s="82"/>
      <c r="L124" s="20">
        <f t="shared" ref="L124:L125" si="294">ROUND(K124/12,2)</f>
        <v>0</v>
      </c>
      <c r="M124" s="20">
        <f t="shared" ref="M124:M125" si="295">L124*2</f>
        <v>0</v>
      </c>
      <c r="N124" s="21"/>
      <c r="O124" s="22">
        <f t="shared" si="265"/>
        <v>0</v>
      </c>
      <c r="P124" s="22">
        <f t="shared" ref="P124:P125" si="296">ROUND(O124/24,2)</f>
        <v>0</v>
      </c>
      <c r="Q124" s="22">
        <f t="shared" ref="Q124:Q125" si="297">P124*2</f>
        <v>0</v>
      </c>
      <c r="R124" s="23"/>
    </row>
    <row r="125" spans="1:18" ht="18.75" customHeight="1" x14ac:dyDescent="0.35">
      <c r="A125" s="145"/>
      <c r="B125" s="145" t="s">
        <v>10</v>
      </c>
      <c r="C125" s="271"/>
      <c r="D125" s="20">
        <f t="shared" si="290"/>
        <v>0</v>
      </c>
      <c r="E125" s="20">
        <f t="shared" si="291"/>
        <v>0</v>
      </c>
      <c r="F125" s="21"/>
      <c r="G125" s="81"/>
      <c r="H125" s="20">
        <f t="shared" si="292"/>
        <v>0</v>
      </c>
      <c r="I125" s="20">
        <f t="shared" si="293"/>
        <v>0</v>
      </c>
      <c r="J125" s="21"/>
      <c r="K125" s="82"/>
      <c r="L125" s="20">
        <f t="shared" si="294"/>
        <v>0</v>
      </c>
      <c r="M125" s="20">
        <f t="shared" si="295"/>
        <v>0</v>
      </c>
      <c r="N125" s="21"/>
      <c r="O125" s="22">
        <f t="shared" si="265"/>
        <v>0</v>
      </c>
      <c r="P125" s="22">
        <f t="shared" si="296"/>
        <v>0</v>
      </c>
      <c r="Q125" s="22">
        <f t="shared" si="297"/>
        <v>0</v>
      </c>
      <c r="R125" s="23"/>
    </row>
    <row r="126" spans="1:18" ht="18.75" customHeight="1" x14ac:dyDescent="0.35">
      <c r="A126" s="145" t="s">
        <v>48</v>
      </c>
      <c r="B126" s="145" t="s">
        <v>8</v>
      </c>
      <c r="C126" s="271"/>
      <c r="D126" s="20">
        <f>ROUND(C126/18,2)</f>
        <v>0</v>
      </c>
      <c r="E126" s="20"/>
      <c r="F126" s="21">
        <f>SUM(D126,E127:E128)</f>
        <v>0</v>
      </c>
      <c r="G126" s="81"/>
      <c r="H126" s="20">
        <f>ROUND(G126/18,2)</f>
        <v>0</v>
      </c>
      <c r="I126" s="20"/>
      <c r="J126" s="21">
        <f>SUM(H126,I127:I128)</f>
        <v>0</v>
      </c>
      <c r="K126" s="82"/>
      <c r="L126" s="20">
        <f>ROUND(K126/18,2)</f>
        <v>0</v>
      </c>
      <c r="M126" s="20"/>
      <c r="N126" s="21">
        <f>SUM(L126,M127:M128)</f>
        <v>2.16</v>
      </c>
      <c r="O126" s="22">
        <f t="shared" si="265"/>
        <v>0</v>
      </c>
      <c r="P126" s="22">
        <f>ROUND(O126/36,2)</f>
        <v>0</v>
      </c>
      <c r="Q126" s="22"/>
      <c r="R126" s="23">
        <f>SUM(P126,Q127:Q128)</f>
        <v>1.08</v>
      </c>
    </row>
    <row r="127" spans="1:18" ht="18.75" customHeight="1" x14ac:dyDescent="0.35">
      <c r="A127" s="145"/>
      <c r="B127" s="145" t="s">
        <v>9</v>
      </c>
      <c r="C127" s="271"/>
      <c r="D127" s="20">
        <f t="shared" ref="D127:D128" si="298">ROUND(C127/12,2)</f>
        <v>0</v>
      </c>
      <c r="E127" s="20">
        <f t="shared" ref="E127:E128" si="299">D127*2</f>
        <v>0</v>
      </c>
      <c r="F127" s="21"/>
      <c r="G127" s="81"/>
      <c r="H127" s="20">
        <f t="shared" ref="H127:H128" si="300">ROUND(G127/12,2)</f>
        <v>0</v>
      </c>
      <c r="I127" s="20">
        <f t="shared" ref="I127:I128" si="301">H127*2</f>
        <v>0</v>
      </c>
      <c r="J127" s="21"/>
      <c r="K127" s="82">
        <v>13</v>
      </c>
      <c r="L127" s="20">
        <f t="shared" ref="L127:L128" si="302">ROUND(K127/12,2)</f>
        <v>1.08</v>
      </c>
      <c r="M127" s="20">
        <f t="shared" ref="M127:M128" si="303">L127*2</f>
        <v>2.16</v>
      </c>
      <c r="N127" s="21"/>
      <c r="O127" s="22">
        <f t="shared" si="265"/>
        <v>13</v>
      </c>
      <c r="P127" s="22">
        <f t="shared" ref="P127:P128" si="304">ROUND(O127/24,2)</f>
        <v>0.54</v>
      </c>
      <c r="Q127" s="22">
        <f t="shared" ref="Q127:Q128" si="305">P127*2</f>
        <v>1.08</v>
      </c>
      <c r="R127" s="23"/>
    </row>
    <row r="128" spans="1:18" ht="18.75" customHeight="1" x14ac:dyDescent="0.35">
      <c r="A128" s="145"/>
      <c r="B128" s="145" t="s">
        <v>10</v>
      </c>
      <c r="C128" s="271"/>
      <c r="D128" s="20">
        <f t="shared" si="298"/>
        <v>0</v>
      </c>
      <c r="E128" s="20">
        <f t="shared" si="299"/>
        <v>0</v>
      </c>
      <c r="F128" s="21"/>
      <c r="G128" s="81"/>
      <c r="H128" s="20">
        <f t="shared" si="300"/>
        <v>0</v>
      </c>
      <c r="I128" s="20">
        <f t="shared" si="301"/>
        <v>0</v>
      </c>
      <c r="J128" s="21"/>
      <c r="K128" s="82"/>
      <c r="L128" s="20">
        <f t="shared" si="302"/>
        <v>0</v>
      </c>
      <c r="M128" s="20">
        <f t="shared" si="303"/>
        <v>0</v>
      </c>
      <c r="N128" s="21"/>
      <c r="O128" s="22">
        <f t="shared" si="265"/>
        <v>0</v>
      </c>
      <c r="P128" s="22">
        <f t="shared" si="304"/>
        <v>0</v>
      </c>
      <c r="Q128" s="22">
        <f t="shared" si="305"/>
        <v>0</v>
      </c>
      <c r="R128" s="23"/>
    </row>
    <row r="129" spans="1:18" ht="18.75" customHeight="1" x14ac:dyDescent="0.35">
      <c r="A129" s="145" t="s">
        <v>49</v>
      </c>
      <c r="B129" s="145" t="s">
        <v>8</v>
      </c>
      <c r="C129" s="271"/>
      <c r="D129" s="20">
        <f>ROUND(C129/18,2)</f>
        <v>0</v>
      </c>
      <c r="E129" s="20"/>
      <c r="F129" s="21">
        <f>SUM(D129,E130:E131)</f>
        <v>0</v>
      </c>
      <c r="G129" s="81"/>
      <c r="H129" s="20">
        <f>ROUND(G129/18,2)</f>
        <v>0</v>
      </c>
      <c r="I129" s="20"/>
      <c r="J129" s="21">
        <f>SUM(H129,I130:I131)</f>
        <v>0</v>
      </c>
      <c r="K129" s="82"/>
      <c r="L129" s="20">
        <f>ROUND(K129/18,2)</f>
        <v>0</v>
      </c>
      <c r="M129" s="20"/>
      <c r="N129" s="21">
        <f>SUM(L129,M130:M131)</f>
        <v>0</v>
      </c>
      <c r="O129" s="22">
        <f t="shared" si="265"/>
        <v>0</v>
      </c>
      <c r="P129" s="22">
        <f>ROUND(O129/36,2)</f>
        <v>0</v>
      </c>
      <c r="Q129" s="22"/>
      <c r="R129" s="23">
        <f>SUM(P129,Q130:Q131)</f>
        <v>0</v>
      </c>
    </row>
    <row r="130" spans="1:18" ht="18.75" customHeight="1" x14ac:dyDescent="0.35">
      <c r="A130" s="145"/>
      <c r="B130" s="145" t="s">
        <v>9</v>
      </c>
      <c r="C130" s="271"/>
      <c r="D130" s="20">
        <f t="shared" ref="D130:D131" si="306">ROUND(C130/12,2)</f>
        <v>0</v>
      </c>
      <c r="E130" s="20">
        <f t="shared" ref="E130:E131" si="307">D130*2</f>
        <v>0</v>
      </c>
      <c r="F130" s="21"/>
      <c r="G130" s="81"/>
      <c r="H130" s="20">
        <f t="shared" ref="H130:H131" si="308">ROUND(G130/12,2)</f>
        <v>0</v>
      </c>
      <c r="I130" s="20">
        <f t="shared" ref="I130:I131" si="309">H130*2</f>
        <v>0</v>
      </c>
      <c r="J130" s="21"/>
      <c r="K130" s="82"/>
      <c r="L130" s="20">
        <f t="shared" ref="L130:L131" si="310">ROUND(K130/12,2)</f>
        <v>0</v>
      </c>
      <c r="M130" s="20">
        <f t="shared" ref="M130:M131" si="311">L130*2</f>
        <v>0</v>
      </c>
      <c r="N130" s="21"/>
      <c r="O130" s="22">
        <f t="shared" si="265"/>
        <v>0</v>
      </c>
      <c r="P130" s="22">
        <f t="shared" ref="P130:P131" si="312">ROUND(O130/24,2)</f>
        <v>0</v>
      </c>
      <c r="Q130" s="22">
        <f t="shared" ref="Q130:Q131" si="313">P130*2</f>
        <v>0</v>
      </c>
      <c r="R130" s="23"/>
    </row>
    <row r="131" spans="1:18" ht="18.75" customHeight="1" x14ac:dyDescent="0.35">
      <c r="A131" s="145"/>
      <c r="B131" s="145" t="s">
        <v>10</v>
      </c>
      <c r="C131" s="271"/>
      <c r="D131" s="20">
        <f t="shared" si="306"/>
        <v>0</v>
      </c>
      <c r="E131" s="20">
        <f t="shared" si="307"/>
        <v>0</v>
      </c>
      <c r="F131" s="21"/>
      <c r="G131" s="81"/>
      <c r="H131" s="20">
        <f t="shared" si="308"/>
        <v>0</v>
      </c>
      <c r="I131" s="20">
        <f t="shared" si="309"/>
        <v>0</v>
      </c>
      <c r="J131" s="21"/>
      <c r="K131" s="82"/>
      <c r="L131" s="20">
        <f t="shared" si="310"/>
        <v>0</v>
      </c>
      <c r="M131" s="20">
        <f t="shared" si="311"/>
        <v>0</v>
      </c>
      <c r="N131" s="21"/>
      <c r="O131" s="22">
        <f t="shared" si="265"/>
        <v>0</v>
      </c>
      <c r="P131" s="22">
        <f t="shared" si="312"/>
        <v>0</v>
      </c>
      <c r="Q131" s="22">
        <f t="shared" si="313"/>
        <v>0</v>
      </c>
      <c r="R131" s="23"/>
    </row>
    <row r="132" spans="1:18" ht="18.75" customHeight="1" x14ac:dyDescent="0.35">
      <c r="A132" s="145" t="s">
        <v>50</v>
      </c>
      <c r="B132" s="145" t="s">
        <v>8</v>
      </c>
      <c r="C132" s="271">
        <v>0</v>
      </c>
      <c r="D132" s="20">
        <f>ROUND(C132/18,2)</f>
        <v>0</v>
      </c>
      <c r="E132" s="20"/>
      <c r="F132" s="21">
        <f>SUM(D132,E133:E134)</f>
        <v>0.84</v>
      </c>
      <c r="G132" s="81"/>
      <c r="H132" s="20">
        <f>ROUND(G132/18,2)</f>
        <v>0</v>
      </c>
      <c r="I132" s="20"/>
      <c r="J132" s="21">
        <f>SUM(H132,I133:I134)</f>
        <v>1.5</v>
      </c>
      <c r="K132" s="82"/>
      <c r="L132" s="20">
        <f>ROUND(K132/18,2)</f>
        <v>0</v>
      </c>
      <c r="M132" s="20"/>
      <c r="N132" s="21">
        <f>SUM(L132,M133:M134)</f>
        <v>3.16</v>
      </c>
      <c r="O132" s="22">
        <f t="shared" si="265"/>
        <v>0</v>
      </c>
      <c r="P132" s="22">
        <f>ROUND(O132/36,2)</f>
        <v>0</v>
      </c>
      <c r="Q132" s="22"/>
      <c r="R132" s="23">
        <f>SUM(P132,Q133:Q134)</f>
        <v>2.76</v>
      </c>
    </row>
    <row r="133" spans="1:18" ht="18.75" customHeight="1" x14ac:dyDescent="0.35">
      <c r="A133" s="145"/>
      <c r="B133" s="145" t="s">
        <v>9</v>
      </c>
      <c r="C133" s="271">
        <v>5</v>
      </c>
      <c r="D133" s="20">
        <f t="shared" ref="D133:D134" si="314">ROUND(C133/12,2)</f>
        <v>0.42</v>
      </c>
      <c r="E133" s="20">
        <f t="shared" ref="E133:E134" si="315">D133*2</f>
        <v>0.84</v>
      </c>
      <c r="F133" s="21"/>
      <c r="G133" s="81">
        <v>9</v>
      </c>
      <c r="H133" s="20">
        <f t="shared" ref="H133:H134" si="316">ROUND(G133/12,2)</f>
        <v>0.75</v>
      </c>
      <c r="I133" s="20">
        <f t="shared" ref="I133:I134" si="317">H133*2</f>
        <v>1.5</v>
      </c>
      <c r="J133" s="21"/>
      <c r="K133" s="82">
        <v>19</v>
      </c>
      <c r="L133" s="20">
        <f t="shared" ref="L133:L134" si="318">ROUND(K133/12,2)</f>
        <v>1.58</v>
      </c>
      <c r="M133" s="20">
        <f t="shared" ref="M133:M134" si="319">L133*2</f>
        <v>3.16</v>
      </c>
      <c r="N133" s="21"/>
      <c r="O133" s="22">
        <f t="shared" si="265"/>
        <v>33</v>
      </c>
      <c r="P133" s="22">
        <f t="shared" ref="P133:P134" si="320">ROUND(O133/24,2)</f>
        <v>1.38</v>
      </c>
      <c r="Q133" s="22">
        <f t="shared" ref="Q133:Q134" si="321">P133*2</f>
        <v>2.76</v>
      </c>
      <c r="R133" s="23"/>
    </row>
    <row r="134" spans="1:18" ht="18.75" customHeight="1" x14ac:dyDescent="0.35">
      <c r="A134" s="145"/>
      <c r="B134" s="145" t="s">
        <v>10</v>
      </c>
      <c r="C134" s="271"/>
      <c r="D134" s="20">
        <f t="shared" si="314"/>
        <v>0</v>
      </c>
      <c r="E134" s="20">
        <f t="shared" si="315"/>
        <v>0</v>
      </c>
      <c r="F134" s="21"/>
      <c r="G134" s="81"/>
      <c r="H134" s="20">
        <f t="shared" si="316"/>
        <v>0</v>
      </c>
      <c r="I134" s="20">
        <f t="shared" si="317"/>
        <v>0</v>
      </c>
      <c r="J134" s="21"/>
      <c r="K134" s="82"/>
      <c r="L134" s="20">
        <f t="shared" si="318"/>
        <v>0</v>
      </c>
      <c r="M134" s="20">
        <f t="shared" si="319"/>
        <v>0</v>
      </c>
      <c r="N134" s="21"/>
      <c r="O134" s="22">
        <f t="shared" si="265"/>
        <v>0</v>
      </c>
      <c r="P134" s="22">
        <f t="shared" si="320"/>
        <v>0</v>
      </c>
      <c r="Q134" s="22">
        <f t="shared" si="321"/>
        <v>0</v>
      </c>
      <c r="R134" s="23"/>
    </row>
    <row r="135" spans="1:18" ht="18.75" customHeight="1" x14ac:dyDescent="0.35">
      <c r="A135" s="145" t="s">
        <v>51</v>
      </c>
      <c r="B135" s="145" t="s">
        <v>8</v>
      </c>
      <c r="C135" s="271">
        <v>1109</v>
      </c>
      <c r="D135" s="20">
        <f>ROUND(C135/18,2)</f>
        <v>61.61</v>
      </c>
      <c r="E135" s="20"/>
      <c r="F135" s="21">
        <f>SUM(D135,E136:E137)</f>
        <v>61.61</v>
      </c>
      <c r="G135" s="81"/>
      <c r="H135" s="20">
        <f>ROUND(G135/18,2)</f>
        <v>0</v>
      </c>
      <c r="I135" s="20"/>
      <c r="J135" s="21">
        <f>SUM(H135,I136:I137)</f>
        <v>0</v>
      </c>
      <c r="K135" s="82"/>
      <c r="L135" s="20">
        <f>ROUND(K135/18,2)</f>
        <v>0</v>
      </c>
      <c r="M135" s="20"/>
      <c r="N135" s="21">
        <f>SUM(L135,M136:M137)</f>
        <v>0</v>
      </c>
      <c r="O135" s="22">
        <f t="shared" si="265"/>
        <v>1109</v>
      </c>
      <c r="P135" s="22">
        <f>ROUND(O135/36,2)</f>
        <v>30.81</v>
      </c>
      <c r="Q135" s="22"/>
      <c r="R135" s="23">
        <f>SUM(P135,Q136:Q137)</f>
        <v>30.81</v>
      </c>
    </row>
    <row r="136" spans="1:18" ht="18.75" customHeight="1" x14ac:dyDescent="0.35">
      <c r="A136" s="145"/>
      <c r="B136" s="145" t="s">
        <v>9</v>
      </c>
      <c r="C136" s="271"/>
      <c r="D136" s="20">
        <f t="shared" ref="D136:D137" si="322">ROUND(C136/12,2)</f>
        <v>0</v>
      </c>
      <c r="E136" s="20">
        <f t="shared" ref="E136:E137" si="323">D136*2</f>
        <v>0</v>
      </c>
      <c r="F136" s="21"/>
      <c r="G136" s="81"/>
      <c r="H136" s="20">
        <f t="shared" ref="H136:H137" si="324">ROUND(G136/12,2)</f>
        <v>0</v>
      </c>
      <c r="I136" s="20">
        <f t="shared" ref="I136:I137" si="325">H136*2</f>
        <v>0</v>
      </c>
      <c r="J136" s="21"/>
      <c r="K136" s="82"/>
      <c r="L136" s="20">
        <f t="shared" ref="L136:L137" si="326">ROUND(K136/12,2)</f>
        <v>0</v>
      </c>
      <c r="M136" s="20">
        <f t="shared" ref="M136:M137" si="327">L136*2</f>
        <v>0</v>
      </c>
      <c r="N136" s="21"/>
      <c r="O136" s="22">
        <f t="shared" si="265"/>
        <v>0</v>
      </c>
      <c r="P136" s="22">
        <f t="shared" ref="P136:P137" si="328">ROUND(O136/24,2)</f>
        <v>0</v>
      </c>
      <c r="Q136" s="22">
        <f t="shared" ref="Q136:Q137" si="329">P136*2</f>
        <v>0</v>
      </c>
      <c r="R136" s="23"/>
    </row>
    <row r="137" spans="1:18" ht="18.75" customHeight="1" x14ac:dyDescent="0.35">
      <c r="A137" s="145"/>
      <c r="B137" s="145" t="s">
        <v>10</v>
      </c>
      <c r="C137" s="271"/>
      <c r="D137" s="20">
        <f t="shared" si="322"/>
        <v>0</v>
      </c>
      <c r="E137" s="20">
        <f t="shared" si="323"/>
        <v>0</v>
      </c>
      <c r="F137" s="21"/>
      <c r="G137" s="81"/>
      <c r="H137" s="20">
        <f t="shared" si="324"/>
        <v>0</v>
      </c>
      <c r="I137" s="20">
        <f t="shared" si="325"/>
        <v>0</v>
      </c>
      <c r="J137" s="21"/>
      <c r="K137" s="82"/>
      <c r="L137" s="20">
        <f t="shared" si="326"/>
        <v>0</v>
      </c>
      <c r="M137" s="20">
        <f t="shared" si="327"/>
        <v>0</v>
      </c>
      <c r="N137" s="21"/>
      <c r="O137" s="22">
        <f t="shared" si="265"/>
        <v>0</v>
      </c>
      <c r="P137" s="22">
        <f t="shared" si="328"/>
        <v>0</v>
      </c>
      <c r="Q137" s="22">
        <f t="shared" si="329"/>
        <v>0</v>
      </c>
      <c r="R137" s="23"/>
    </row>
    <row r="138" spans="1:18" ht="18.75" customHeight="1" x14ac:dyDescent="0.35">
      <c r="A138" s="145" t="s">
        <v>52</v>
      </c>
      <c r="B138" s="145" t="s">
        <v>8</v>
      </c>
      <c r="C138" s="271">
        <v>810</v>
      </c>
      <c r="D138" s="20">
        <f>ROUND(C138/18,2)</f>
        <v>45</v>
      </c>
      <c r="E138" s="20"/>
      <c r="F138" s="21">
        <f>SUM(D138,E139:E140)</f>
        <v>45</v>
      </c>
      <c r="G138" s="81">
        <v>1708</v>
      </c>
      <c r="H138" s="20">
        <f>ROUND(G138/18,2)</f>
        <v>94.89</v>
      </c>
      <c r="I138" s="20"/>
      <c r="J138" s="21">
        <f>SUM(H138,I139:I140)</f>
        <v>94.89</v>
      </c>
      <c r="K138" s="82"/>
      <c r="L138" s="20">
        <f>ROUND(K138/18,2)</f>
        <v>0</v>
      </c>
      <c r="M138" s="20"/>
      <c r="N138" s="21">
        <f>SUM(L138,M139:M140)</f>
        <v>0</v>
      </c>
      <c r="O138" s="22">
        <f t="shared" si="265"/>
        <v>2518</v>
      </c>
      <c r="P138" s="22">
        <f>ROUND(O138/36,2)</f>
        <v>69.94</v>
      </c>
      <c r="Q138" s="22"/>
      <c r="R138" s="23">
        <f>SUM(P138,Q139:Q140)</f>
        <v>69.94</v>
      </c>
    </row>
    <row r="139" spans="1:18" ht="18.75" customHeight="1" x14ac:dyDescent="0.35">
      <c r="A139" s="145"/>
      <c r="B139" s="145" t="s">
        <v>9</v>
      </c>
      <c r="C139" s="271"/>
      <c r="D139" s="20">
        <f t="shared" ref="D139:D140" si="330">ROUND(C139/12,2)</f>
        <v>0</v>
      </c>
      <c r="E139" s="20">
        <f t="shared" ref="E139:E140" si="331">D139*2</f>
        <v>0</v>
      </c>
      <c r="F139" s="21"/>
      <c r="G139" s="81"/>
      <c r="H139" s="20">
        <f t="shared" ref="H139:H140" si="332">ROUND(G139/12,2)</f>
        <v>0</v>
      </c>
      <c r="I139" s="20">
        <f t="shared" ref="I139:I140" si="333">H139*2</f>
        <v>0</v>
      </c>
      <c r="J139" s="21"/>
      <c r="K139" s="82"/>
      <c r="L139" s="20">
        <f t="shared" ref="L139:L140" si="334">ROUND(K139/12,2)</f>
        <v>0</v>
      </c>
      <c r="M139" s="20">
        <f t="shared" ref="M139:M140" si="335">L139*2</f>
        <v>0</v>
      </c>
      <c r="N139" s="21"/>
      <c r="O139" s="22">
        <f t="shared" si="265"/>
        <v>0</v>
      </c>
      <c r="P139" s="22">
        <f t="shared" ref="P139:P140" si="336">ROUND(O139/24,2)</f>
        <v>0</v>
      </c>
      <c r="Q139" s="22">
        <f t="shared" ref="Q139:Q140" si="337">P139*2</f>
        <v>0</v>
      </c>
      <c r="R139" s="23"/>
    </row>
    <row r="140" spans="1:18" ht="18.75" customHeight="1" x14ac:dyDescent="0.35">
      <c r="A140" s="145"/>
      <c r="B140" s="145" t="s">
        <v>10</v>
      </c>
      <c r="C140" s="271"/>
      <c r="D140" s="20">
        <f t="shared" si="330"/>
        <v>0</v>
      </c>
      <c r="E140" s="20">
        <f t="shared" si="331"/>
        <v>0</v>
      </c>
      <c r="F140" s="21"/>
      <c r="G140" s="81"/>
      <c r="H140" s="20">
        <f t="shared" si="332"/>
        <v>0</v>
      </c>
      <c r="I140" s="20">
        <f t="shared" si="333"/>
        <v>0</v>
      </c>
      <c r="J140" s="21"/>
      <c r="K140" s="82"/>
      <c r="L140" s="20">
        <f t="shared" si="334"/>
        <v>0</v>
      </c>
      <c r="M140" s="20">
        <f t="shared" si="335"/>
        <v>0</v>
      </c>
      <c r="N140" s="21"/>
      <c r="O140" s="22">
        <f t="shared" si="265"/>
        <v>0</v>
      </c>
      <c r="P140" s="22">
        <f t="shared" si="336"/>
        <v>0</v>
      </c>
      <c r="Q140" s="22">
        <f t="shared" si="337"/>
        <v>0</v>
      </c>
      <c r="R140" s="23"/>
    </row>
    <row r="141" spans="1:18" ht="18.75" customHeight="1" x14ac:dyDescent="0.35">
      <c r="A141" s="145" t="s">
        <v>53</v>
      </c>
      <c r="B141" s="145" t="s">
        <v>8</v>
      </c>
      <c r="C141" s="271">
        <v>74</v>
      </c>
      <c r="D141" s="20">
        <f>ROUND(C141/18,2)</f>
        <v>4.1100000000000003</v>
      </c>
      <c r="E141" s="20"/>
      <c r="F141" s="21">
        <f>SUM(D141,E142:E143)</f>
        <v>4.1100000000000003</v>
      </c>
      <c r="G141" s="81">
        <v>239</v>
      </c>
      <c r="H141" s="20">
        <f>ROUND(G141/18,2)</f>
        <v>13.28</v>
      </c>
      <c r="I141" s="20"/>
      <c r="J141" s="21">
        <f>SUM(H141,I142:I143)</f>
        <v>13.28</v>
      </c>
      <c r="K141" s="82"/>
      <c r="L141" s="20">
        <f>ROUND(K141/18,2)</f>
        <v>0</v>
      </c>
      <c r="M141" s="20"/>
      <c r="N141" s="21">
        <f>SUM(L141,M142:M143)</f>
        <v>0</v>
      </c>
      <c r="O141" s="22">
        <f t="shared" si="265"/>
        <v>313</v>
      </c>
      <c r="P141" s="22">
        <f>ROUND(O141/36,2)</f>
        <v>8.69</v>
      </c>
      <c r="Q141" s="22"/>
      <c r="R141" s="23">
        <f>SUM(P141,Q142:Q143)</f>
        <v>8.69</v>
      </c>
    </row>
    <row r="142" spans="1:18" ht="18.75" customHeight="1" x14ac:dyDescent="0.35">
      <c r="A142" s="145"/>
      <c r="B142" s="145" t="s">
        <v>9</v>
      </c>
      <c r="C142" s="271"/>
      <c r="D142" s="20">
        <f t="shared" ref="D142:D143" si="338">ROUND(C142/12,2)</f>
        <v>0</v>
      </c>
      <c r="E142" s="20">
        <f t="shared" ref="E142:E143" si="339">D142*2</f>
        <v>0</v>
      </c>
      <c r="F142" s="21"/>
      <c r="G142" s="81"/>
      <c r="H142" s="20">
        <f t="shared" ref="H142:H143" si="340">ROUND(G142/12,2)</f>
        <v>0</v>
      </c>
      <c r="I142" s="20">
        <f t="shared" ref="I142:I143" si="341">H142*2</f>
        <v>0</v>
      </c>
      <c r="J142" s="21"/>
      <c r="K142" s="82"/>
      <c r="L142" s="20">
        <f t="shared" ref="L142:L143" si="342">ROUND(K142/12,2)</f>
        <v>0</v>
      </c>
      <c r="M142" s="20">
        <f t="shared" ref="M142:M143" si="343">L142*2</f>
        <v>0</v>
      </c>
      <c r="N142" s="21"/>
      <c r="O142" s="22">
        <f t="shared" si="265"/>
        <v>0</v>
      </c>
      <c r="P142" s="22">
        <f t="shared" ref="P142:P143" si="344">ROUND(O142/24,2)</f>
        <v>0</v>
      </c>
      <c r="Q142" s="22">
        <f t="shared" ref="Q142:Q143" si="345">P142*2</f>
        <v>0</v>
      </c>
      <c r="R142" s="23"/>
    </row>
    <row r="143" spans="1:18" ht="18.75" customHeight="1" x14ac:dyDescent="0.35">
      <c r="A143" s="145"/>
      <c r="B143" s="145" t="s">
        <v>10</v>
      </c>
      <c r="C143" s="271"/>
      <c r="D143" s="20">
        <f t="shared" si="338"/>
        <v>0</v>
      </c>
      <c r="E143" s="20">
        <f t="shared" si="339"/>
        <v>0</v>
      </c>
      <c r="F143" s="21"/>
      <c r="G143" s="81"/>
      <c r="H143" s="20">
        <f t="shared" si="340"/>
        <v>0</v>
      </c>
      <c r="I143" s="20">
        <f t="shared" si="341"/>
        <v>0</v>
      </c>
      <c r="J143" s="21"/>
      <c r="K143" s="82"/>
      <c r="L143" s="20">
        <f t="shared" si="342"/>
        <v>0</v>
      </c>
      <c r="M143" s="20">
        <f t="shared" si="343"/>
        <v>0</v>
      </c>
      <c r="N143" s="21"/>
      <c r="O143" s="22">
        <f t="shared" si="265"/>
        <v>0</v>
      </c>
      <c r="P143" s="22">
        <f t="shared" si="344"/>
        <v>0</v>
      </c>
      <c r="Q143" s="22">
        <f t="shared" si="345"/>
        <v>0</v>
      </c>
      <c r="R143" s="23"/>
    </row>
    <row r="144" spans="1:18" ht="18.75" customHeight="1" x14ac:dyDescent="0.35">
      <c r="A144" s="173" t="s">
        <v>22</v>
      </c>
      <c r="B144" s="151" t="s">
        <v>8</v>
      </c>
      <c r="C144" s="93">
        <f>SUMIF($B$113:$B$143,"ปริญญาตรี",C113:C143)</f>
        <v>4242</v>
      </c>
      <c r="D144" s="32">
        <f>ROUND(C144/18,2)</f>
        <v>235.67</v>
      </c>
      <c r="E144" s="32"/>
      <c r="F144" s="33">
        <f>SUM(D144,E145:E146)</f>
        <v>236.51</v>
      </c>
      <c r="G144" s="93">
        <f>SUMIF($B$113:$B$143,"ปริญญาตรี",G113:G143)</f>
        <v>1947</v>
      </c>
      <c r="H144" s="32">
        <f>ROUND(G144/18,2)</f>
        <v>108.17</v>
      </c>
      <c r="I144" s="32"/>
      <c r="J144" s="33">
        <f>SUM(H144,I145:I146)</f>
        <v>109.67</v>
      </c>
      <c r="K144" s="93">
        <f>SUMIF($B$113:$B$143,"ปริญญาตรี",K113:K143)</f>
        <v>0</v>
      </c>
      <c r="L144" s="32">
        <f>ROUND(K144/18,2)</f>
        <v>0</v>
      </c>
      <c r="M144" s="32"/>
      <c r="N144" s="33">
        <f>SUM(L144,M145:M146)</f>
        <v>10</v>
      </c>
      <c r="O144" s="136">
        <f t="shared" si="265"/>
        <v>6189</v>
      </c>
      <c r="P144" s="34">
        <f>ROUND(O144/36,2)</f>
        <v>171.92</v>
      </c>
      <c r="Q144" s="34"/>
      <c r="R144" s="23">
        <f>SUM(P144,Q145:Q146)</f>
        <v>178.07999999999998</v>
      </c>
    </row>
    <row r="145" spans="1:18" ht="18.75" customHeight="1" x14ac:dyDescent="0.35">
      <c r="A145" s="174" t="s">
        <v>22</v>
      </c>
      <c r="B145" s="151" t="s">
        <v>9</v>
      </c>
      <c r="C145" s="93">
        <f>SUMIF($B$113:$B$143,"ปริญญาโท",C113:C143)</f>
        <v>5</v>
      </c>
      <c r="D145" s="32">
        <f t="shared" ref="D145:D146" si="346">ROUND(C145/12,2)</f>
        <v>0.42</v>
      </c>
      <c r="E145" s="32">
        <f t="shared" ref="E145:E146" si="347">D145*2</f>
        <v>0.84</v>
      </c>
      <c r="F145" s="33"/>
      <c r="G145" s="93">
        <f>SUMIF($B$113:$B$143,"ปริญญาโท",G113:G143)</f>
        <v>9</v>
      </c>
      <c r="H145" s="32">
        <f t="shared" ref="H145:H146" si="348">ROUND(G145/12,2)</f>
        <v>0.75</v>
      </c>
      <c r="I145" s="32">
        <f t="shared" ref="I145:I146" si="349">H145*2</f>
        <v>1.5</v>
      </c>
      <c r="J145" s="33"/>
      <c r="K145" s="93">
        <f>SUMIF($B$113:$B$143,"ปริญญาโท",K113:K143)</f>
        <v>60</v>
      </c>
      <c r="L145" s="32">
        <f t="shared" ref="L145:L146" si="350">ROUND(K145/12,2)</f>
        <v>5</v>
      </c>
      <c r="M145" s="32">
        <f t="shared" ref="M145:M146" si="351">L145*2</f>
        <v>10</v>
      </c>
      <c r="N145" s="33"/>
      <c r="O145" s="136">
        <f t="shared" si="265"/>
        <v>74</v>
      </c>
      <c r="P145" s="34">
        <f t="shared" ref="P145:P146" si="352">ROUND(O145/24,2)</f>
        <v>3.08</v>
      </c>
      <c r="Q145" s="34">
        <f t="shared" ref="Q145:Q146" si="353">P145*2</f>
        <v>6.16</v>
      </c>
      <c r="R145" s="23"/>
    </row>
    <row r="146" spans="1:18" ht="18.75" customHeight="1" thickBot="1" x14ac:dyDescent="0.4">
      <c r="A146" s="175" t="s">
        <v>22</v>
      </c>
      <c r="B146" s="152" t="s">
        <v>10</v>
      </c>
      <c r="C146" s="94">
        <f>SUMIF($B$113:$B$143,"ปริญญาเอก",C113:C143)</f>
        <v>0</v>
      </c>
      <c r="D146" s="35">
        <f t="shared" si="346"/>
        <v>0</v>
      </c>
      <c r="E146" s="35">
        <f t="shared" si="347"/>
        <v>0</v>
      </c>
      <c r="F146" s="36"/>
      <c r="G146" s="94">
        <f>SUMIF($B$113:$B$143,"ปริญญาเอก",G113:G143)</f>
        <v>0</v>
      </c>
      <c r="H146" s="35">
        <f t="shared" si="348"/>
        <v>0</v>
      </c>
      <c r="I146" s="35">
        <f t="shared" si="349"/>
        <v>0</v>
      </c>
      <c r="J146" s="36"/>
      <c r="K146" s="94">
        <f>SUMIF($B$113:$B$143,"ปริญญาเอก",K113:K143)</f>
        <v>0</v>
      </c>
      <c r="L146" s="35">
        <f t="shared" si="350"/>
        <v>0</v>
      </c>
      <c r="M146" s="35">
        <f t="shared" si="351"/>
        <v>0</v>
      </c>
      <c r="N146" s="36"/>
      <c r="O146" s="137">
        <f t="shared" si="265"/>
        <v>0</v>
      </c>
      <c r="P146" s="37">
        <f t="shared" si="352"/>
        <v>0</v>
      </c>
      <c r="Q146" s="37">
        <f t="shared" si="353"/>
        <v>0</v>
      </c>
      <c r="R146" s="27"/>
    </row>
    <row r="147" spans="1:18" ht="18.75" customHeight="1" x14ac:dyDescent="0.35">
      <c r="A147" s="148" t="s">
        <v>54</v>
      </c>
      <c r="B147" s="150"/>
      <c r="C147" s="80"/>
      <c r="D147" s="28"/>
      <c r="E147" s="28"/>
      <c r="F147" s="29"/>
      <c r="G147" s="79"/>
      <c r="H147" s="28"/>
      <c r="I147" s="28"/>
      <c r="J147" s="29"/>
      <c r="K147" s="80"/>
      <c r="L147" s="28"/>
      <c r="M147" s="28"/>
      <c r="N147" s="29"/>
      <c r="O147" s="66"/>
      <c r="P147" s="30"/>
      <c r="Q147" s="30"/>
      <c r="R147" s="31"/>
    </row>
    <row r="148" spans="1:18" ht="18.75" customHeight="1" x14ac:dyDescent="0.35">
      <c r="A148" s="145" t="s">
        <v>7</v>
      </c>
      <c r="B148" s="145" t="s">
        <v>8</v>
      </c>
      <c r="C148" s="271">
        <v>541</v>
      </c>
      <c r="D148" s="20">
        <f>ROUND(C148/18,2)</f>
        <v>30.06</v>
      </c>
      <c r="E148" s="20"/>
      <c r="F148" s="21">
        <f>SUM(D148,E149:E150)</f>
        <v>30.06</v>
      </c>
      <c r="G148" s="81">
        <v>175</v>
      </c>
      <c r="H148" s="20">
        <f>ROUND(G148/18,2)</f>
        <v>9.7200000000000006</v>
      </c>
      <c r="I148" s="20"/>
      <c r="J148" s="21">
        <f>SUM(H148,I149:I150)</f>
        <v>9.7200000000000006</v>
      </c>
      <c r="K148" s="82"/>
      <c r="L148" s="20">
        <f>ROUND(K148/18,2)</f>
        <v>0</v>
      </c>
      <c r="M148" s="20"/>
      <c r="N148" s="21">
        <f>SUM(L148,M149:M150)</f>
        <v>0</v>
      </c>
      <c r="O148" s="22">
        <f t="shared" ref="O148:O150" si="354">SUMIF($C$3:$N$3,"SCH",C148:N148)</f>
        <v>716</v>
      </c>
      <c r="P148" s="22">
        <f>ROUND(O148/36,2)</f>
        <v>19.89</v>
      </c>
      <c r="Q148" s="22"/>
      <c r="R148" s="23">
        <f>SUM(P148,Q149:Q150)</f>
        <v>19.89</v>
      </c>
    </row>
    <row r="149" spans="1:18" ht="18.75" customHeight="1" x14ac:dyDescent="0.35">
      <c r="A149" s="163"/>
      <c r="B149" s="145" t="s">
        <v>9</v>
      </c>
      <c r="C149" s="271"/>
      <c r="D149" s="20">
        <f t="shared" ref="D149:D150" si="355">ROUND(C149/12,2)</f>
        <v>0</v>
      </c>
      <c r="E149" s="20">
        <f t="shared" ref="E149:E150" si="356">D149*1</f>
        <v>0</v>
      </c>
      <c r="F149" s="21"/>
      <c r="G149" s="81"/>
      <c r="H149" s="20">
        <f t="shared" ref="H149:H150" si="357">ROUND(G149/12,2)</f>
        <v>0</v>
      </c>
      <c r="I149" s="20">
        <f t="shared" ref="I149:I150" si="358">H149*1</f>
        <v>0</v>
      </c>
      <c r="J149" s="21"/>
      <c r="K149" s="82"/>
      <c r="L149" s="20">
        <f t="shared" ref="L149:L150" si="359">ROUND(K149/12,2)</f>
        <v>0</v>
      </c>
      <c r="M149" s="20">
        <f t="shared" ref="M149:M150" si="360">L149*1</f>
        <v>0</v>
      </c>
      <c r="N149" s="21"/>
      <c r="O149" s="22">
        <f t="shared" si="354"/>
        <v>0</v>
      </c>
      <c r="P149" s="22">
        <f t="shared" ref="P149:P150" si="361">ROUND(O149/24,2)</f>
        <v>0</v>
      </c>
      <c r="Q149" s="22">
        <f t="shared" ref="Q149:Q150" si="362">P149*1</f>
        <v>0</v>
      </c>
      <c r="R149" s="23"/>
    </row>
    <row r="150" spans="1:18" ht="18.75" customHeight="1" thickBot="1" x14ac:dyDescent="0.4">
      <c r="A150" s="164"/>
      <c r="B150" s="146" t="s">
        <v>10</v>
      </c>
      <c r="C150" s="272"/>
      <c r="D150" s="24">
        <f t="shared" si="355"/>
        <v>0</v>
      </c>
      <c r="E150" s="24">
        <f t="shared" si="356"/>
        <v>0</v>
      </c>
      <c r="F150" s="25"/>
      <c r="G150" s="83"/>
      <c r="H150" s="24">
        <f t="shared" si="357"/>
        <v>0</v>
      </c>
      <c r="I150" s="24">
        <f t="shared" si="358"/>
        <v>0</v>
      </c>
      <c r="J150" s="25"/>
      <c r="K150" s="84"/>
      <c r="L150" s="24">
        <f t="shared" si="359"/>
        <v>0</v>
      </c>
      <c r="M150" s="24">
        <f t="shared" si="360"/>
        <v>0</v>
      </c>
      <c r="N150" s="25"/>
      <c r="O150" s="92">
        <f t="shared" si="354"/>
        <v>0</v>
      </c>
      <c r="P150" s="26">
        <f t="shared" si="361"/>
        <v>0</v>
      </c>
      <c r="Q150" s="26">
        <f t="shared" si="362"/>
        <v>0</v>
      </c>
      <c r="R150" s="27"/>
    </row>
    <row r="151" spans="1:18" ht="18.75" customHeight="1" x14ac:dyDescent="0.35">
      <c r="A151" s="148" t="s">
        <v>55</v>
      </c>
      <c r="B151" s="149"/>
      <c r="C151" s="274"/>
      <c r="D151" s="28"/>
      <c r="E151" s="28"/>
      <c r="F151" s="29"/>
      <c r="G151" s="79"/>
      <c r="H151" s="28"/>
      <c r="I151" s="28"/>
      <c r="J151" s="29"/>
      <c r="K151" s="80"/>
      <c r="L151" s="28"/>
      <c r="M151" s="28"/>
      <c r="N151" s="29"/>
      <c r="O151" s="30"/>
      <c r="P151" s="30"/>
      <c r="Q151" s="30"/>
      <c r="R151" s="31"/>
    </row>
    <row r="152" spans="1:18" ht="18.75" customHeight="1" x14ac:dyDescent="0.35">
      <c r="A152" s="145" t="s">
        <v>56</v>
      </c>
      <c r="B152" s="145" t="s">
        <v>8</v>
      </c>
      <c r="C152" s="271"/>
      <c r="D152" s="20">
        <f>ROUND(C152/18,2)</f>
        <v>0</v>
      </c>
      <c r="E152" s="20"/>
      <c r="F152" s="21">
        <f>SUM(D152,E153:E154)</f>
        <v>0</v>
      </c>
      <c r="G152" s="81"/>
      <c r="H152" s="20">
        <f>ROUND(G152/18,2)</f>
        <v>0</v>
      </c>
      <c r="I152" s="20"/>
      <c r="J152" s="21">
        <f>SUM(H152,I153:I154)</f>
        <v>0</v>
      </c>
      <c r="K152" s="82"/>
      <c r="L152" s="20">
        <f>ROUND(K152/18,2)</f>
        <v>0</v>
      </c>
      <c r="M152" s="20"/>
      <c r="N152" s="21">
        <f>SUM(L152,M153:M154)</f>
        <v>0</v>
      </c>
      <c r="O152" s="22">
        <f t="shared" ref="O152:O160" si="363">SUMIF($C$3:$N$3,"SCH",C152:N152)</f>
        <v>0</v>
      </c>
      <c r="P152" s="22">
        <f>ROUND(O152/36,2)</f>
        <v>0</v>
      </c>
      <c r="Q152" s="22"/>
      <c r="R152" s="23">
        <f>SUM(P152,Q153:Q154)</f>
        <v>0</v>
      </c>
    </row>
    <row r="153" spans="1:18" ht="18.75" customHeight="1" x14ac:dyDescent="0.35">
      <c r="A153" s="145"/>
      <c r="B153" s="145" t="s">
        <v>9</v>
      </c>
      <c r="C153" s="271"/>
      <c r="D153" s="20">
        <f t="shared" ref="D153:D154" si="364">ROUND(C153/12,2)</f>
        <v>0</v>
      </c>
      <c r="E153" s="20">
        <f t="shared" ref="E153:E154" si="365">D153*2</f>
        <v>0</v>
      </c>
      <c r="F153" s="21"/>
      <c r="G153" s="81"/>
      <c r="H153" s="20">
        <f t="shared" ref="H153:H154" si="366">ROUND(G153/12,2)</f>
        <v>0</v>
      </c>
      <c r="I153" s="20">
        <f t="shared" ref="I153:I154" si="367">H153*2</f>
        <v>0</v>
      </c>
      <c r="J153" s="21"/>
      <c r="K153" s="82"/>
      <c r="L153" s="20">
        <f t="shared" ref="L153:L154" si="368">ROUND(K153/12,2)</f>
        <v>0</v>
      </c>
      <c r="M153" s="20">
        <f t="shared" ref="M153:M154" si="369">L153*2</f>
        <v>0</v>
      </c>
      <c r="N153" s="21"/>
      <c r="O153" s="22">
        <f t="shared" si="363"/>
        <v>0</v>
      </c>
      <c r="P153" s="22">
        <f t="shared" ref="P153:P154" si="370">ROUND(O153/24,2)</f>
        <v>0</v>
      </c>
      <c r="Q153" s="22">
        <f t="shared" ref="Q153:Q154" si="371">P153*2</f>
        <v>0</v>
      </c>
      <c r="R153" s="23"/>
    </row>
    <row r="154" spans="1:18" ht="18.75" customHeight="1" x14ac:dyDescent="0.35">
      <c r="A154" s="145"/>
      <c r="B154" s="145" t="s">
        <v>10</v>
      </c>
      <c r="C154" s="271"/>
      <c r="D154" s="20">
        <f t="shared" si="364"/>
        <v>0</v>
      </c>
      <c r="E154" s="20">
        <f t="shared" si="365"/>
        <v>0</v>
      </c>
      <c r="F154" s="21"/>
      <c r="G154" s="81"/>
      <c r="H154" s="20">
        <f t="shared" si="366"/>
        <v>0</v>
      </c>
      <c r="I154" s="20">
        <f t="shared" si="367"/>
        <v>0</v>
      </c>
      <c r="J154" s="21"/>
      <c r="K154" s="82"/>
      <c r="L154" s="20">
        <f t="shared" si="368"/>
        <v>0</v>
      </c>
      <c r="M154" s="20">
        <f t="shared" si="369"/>
        <v>0</v>
      </c>
      <c r="N154" s="21"/>
      <c r="O154" s="22">
        <f t="shared" si="363"/>
        <v>0</v>
      </c>
      <c r="P154" s="22">
        <f t="shared" si="370"/>
        <v>0</v>
      </c>
      <c r="Q154" s="22">
        <f t="shared" si="371"/>
        <v>0</v>
      </c>
      <c r="R154" s="23"/>
    </row>
    <row r="155" spans="1:18" ht="18.75" customHeight="1" x14ac:dyDescent="0.35">
      <c r="A155" s="145" t="s">
        <v>57</v>
      </c>
      <c r="B155" s="145" t="s">
        <v>8</v>
      </c>
      <c r="C155" s="271"/>
      <c r="D155" s="20">
        <f>ROUND(C155/18,2)</f>
        <v>0</v>
      </c>
      <c r="E155" s="20"/>
      <c r="F155" s="21">
        <f>SUM(D155,E156:E157)</f>
        <v>0</v>
      </c>
      <c r="G155" s="81"/>
      <c r="H155" s="20">
        <f>ROUND(G155/18,2)</f>
        <v>0</v>
      </c>
      <c r="I155" s="20"/>
      <c r="J155" s="21">
        <f>SUM(H155,I156:I157)</f>
        <v>0</v>
      </c>
      <c r="K155" s="82"/>
      <c r="L155" s="20">
        <f>ROUND(K155/18,2)</f>
        <v>0</v>
      </c>
      <c r="M155" s="20"/>
      <c r="N155" s="21">
        <f>SUM(L155,M156:M157)</f>
        <v>0</v>
      </c>
      <c r="O155" s="22">
        <f t="shared" si="363"/>
        <v>0</v>
      </c>
      <c r="P155" s="22">
        <f>ROUND(O155/36,2)</f>
        <v>0</v>
      </c>
      <c r="Q155" s="22"/>
      <c r="R155" s="23">
        <f>SUM(P155,Q156:Q157)</f>
        <v>0</v>
      </c>
    </row>
    <row r="156" spans="1:18" ht="18.75" customHeight="1" x14ac:dyDescent="0.35">
      <c r="A156" s="145"/>
      <c r="B156" s="145" t="s">
        <v>9</v>
      </c>
      <c r="C156" s="271"/>
      <c r="D156" s="20">
        <f t="shared" ref="D156:D157" si="372">ROUND(C156/12,2)</f>
        <v>0</v>
      </c>
      <c r="E156" s="20">
        <f t="shared" ref="E156:E157" si="373">D156*2</f>
        <v>0</v>
      </c>
      <c r="F156" s="21"/>
      <c r="G156" s="81"/>
      <c r="H156" s="20">
        <f t="shared" ref="H156:H157" si="374">ROUND(G156/12,2)</f>
        <v>0</v>
      </c>
      <c r="I156" s="20">
        <f t="shared" ref="I156:I157" si="375">H156*2</f>
        <v>0</v>
      </c>
      <c r="J156" s="21"/>
      <c r="K156" s="82"/>
      <c r="L156" s="20">
        <f t="shared" ref="L156:L157" si="376">ROUND(K156/12,2)</f>
        <v>0</v>
      </c>
      <c r="M156" s="20">
        <f t="shared" ref="M156:M157" si="377">L156*2</f>
        <v>0</v>
      </c>
      <c r="N156" s="21"/>
      <c r="O156" s="22">
        <f t="shared" si="363"/>
        <v>0</v>
      </c>
      <c r="P156" s="22">
        <f t="shared" ref="P156:P157" si="378">ROUND(O156/24,2)</f>
        <v>0</v>
      </c>
      <c r="Q156" s="22">
        <f t="shared" ref="Q156:Q157" si="379">P156*2</f>
        <v>0</v>
      </c>
      <c r="R156" s="23"/>
    </row>
    <row r="157" spans="1:18" ht="18.75" customHeight="1" x14ac:dyDescent="0.35">
      <c r="A157" s="145"/>
      <c r="B157" s="145" t="s">
        <v>10</v>
      </c>
      <c r="C157" s="271"/>
      <c r="D157" s="20">
        <f t="shared" si="372"/>
        <v>0</v>
      </c>
      <c r="E157" s="20">
        <f t="shared" si="373"/>
        <v>0</v>
      </c>
      <c r="F157" s="21"/>
      <c r="G157" s="81"/>
      <c r="H157" s="20">
        <f t="shared" si="374"/>
        <v>0</v>
      </c>
      <c r="I157" s="20">
        <f t="shared" si="375"/>
        <v>0</v>
      </c>
      <c r="J157" s="21"/>
      <c r="K157" s="82"/>
      <c r="L157" s="20">
        <f t="shared" si="376"/>
        <v>0</v>
      </c>
      <c r="M157" s="20">
        <f t="shared" si="377"/>
        <v>0</v>
      </c>
      <c r="N157" s="21"/>
      <c r="O157" s="22">
        <f t="shared" si="363"/>
        <v>0</v>
      </c>
      <c r="P157" s="22">
        <f t="shared" si="378"/>
        <v>0</v>
      </c>
      <c r="Q157" s="22">
        <f t="shared" si="379"/>
        <v>0</v>
      </c>
      <c r="R157" s="23"/>
    </row>
    <row r="158" spans="1:18" ht="18.75" customHeight="1" x14ac:dyDescent="0.35">
      <c r="A158" s="145" t="s">
        <v>58</v>
      </c>
      <c r="B158" s="145" t="s">
        <v>8</v>
      </c>
      <c r="C158" s="271"/>
      <c r="D158" s="20">
        <f>ROUND(C158/18,2)</f>
        <v>0</v>
      </c>
      <c r="E158" s="20"/>
      <c r="F158" s="21">
        <f>SUM(D158,E159:E160)</f>
        <v>0</v>
      </c>
      <c r="G158" s="81"/>
      <c r="H158" s="20">
        <f>ROUND(G158/18,2)</f>
        <v>0</v>
      </c>
      <c r="I158" s="20"/>
      <c r="J158" s="21">
        <f>SUM(H158,I159:I160)</f>
        <v>0</v>
      </c>
      <c r="K158" s="82"/>
      <c r="L158" s="20">
        <f>ROUND(K158/18,2)</f>
        <v>0</v>
      </c>
      <c r="M158" s="20"/>
      <c r="N158" s="21">
        <f>SUM(L158,M159:M160)</f>
        <v>0</v>
      </c>
      <c r="O158" s="22">
        <f t="shared" si="363"/>
        <v>0</v>
      </c>
      <c r="P158" s="22">
        <f>ROUND(O158/36,2)</f>
        <v>0</v>
      </c>
      <c r="Q158" s="22"/>
      <c r="R158" s="23">
        <f>SUM(P158,Q159:Q160)</f>
        <v>0</v>
      </c>
    </row>
    <row r="159" spans="1:18" ht="18.75" customHeight="1" x14ac:dyDescent="0.35">
      <c r="A159" s="145"/>
      <c r="B159" s="145" t="s">
        <v>9</v>
      </c>
      <c r="C159" s="271"/>
      <c r="D159" s="20">
        <f t="shared" ref="D159:D160" si="380">ROUND(C159/12,2)</f>
        <v>0</v>
      </c>
      <c r="E159" s="20">
        <f t="shared" ref="E159:E160" si="381">D159*2</f>
        <v>0</v>
      </c>
      <c r="F159" s="21"/>
      <c r="G159" s="81"/>
      <c r="H159" s="20">
        <f t="shared" ref="H159:H160" si="382">ROUND(G159/12,2)</f>
        <v>0</v>
      </c>
      <c r="I159" s="20">
        <f t="shared" ref="I159:I160" si="383">H159*2</f>
        <v>0</v>
      </c>
      <c r="J159" s="21"/>
      <c r="K159" s="82"/>
      <c r="L159" s="20">
        <f t="shared" ref="L159:L160" si="384">ROUND(K159/12,2)</f>
        <v>0</v>
      </c>
      <c r="M159" s="20">
        <f t="shared" ref="M159:M160" si="385">L159*2</f>
        <v>0</v>
      </c>
      <c r="N159" s="21"/>
      <c r="O159" s="22">
        <f t="shared" si="363"/>
        <v>0</v>
      </c>
      <c r="P159" s="22">
        <f t="shared" ref="P159:P160" si="386">ROUND(O159/24,2)</f>
        <v>0</v>
      </c>
      <c r="Q159" s="22">
        <f t="shared" ref="Q159:Q160" si="387">P159*2</f>
        <v>0</v>
      </c>
      <c r="R159" s="23"/>
    </row>
    <row r="160" spans="1:18" ht="18.75" customHeight="1" x14ac:dyDescent="0.35">
      <c r="A160" s="145"/>
      <c r="B160" s="145" t="s">
        <v>10</v>
      </c>
      <c r="C160" s="271"/>
      <c r="D160" s="20">
        <f t="shared" si="380"/>
        <v>0</v>
      </c>
      <c r="E160" s="20">
        <f t="shared" si="381"/>
        <v>0</v>
      </c>
      <c r="F160" s="21"/>
      <c r="G160" s="81"/>
      <c r="H160" s="20">
        <f t="shared" si="382"/>
        <v>0</v>
      </c>
      <c r="I160" s="20">
        <f t="shared" si="383"/>
        <v>0</v>
      </c>
      <c r="J160" s="21"/>
      <c r="K160" s="82"/>
      <c r="L160" s="20">
        <f t="shared" si="384"/>
        <v>0</v>
      </c>
      <c r="M160" s="20">
        <f t="shared" si="385"/>
        <v>0</v>
      </c>
      <c r="N160" s="21"/>
      <c r="O160" s="22">
        <f t="shared" si="363"/>
        <v>0</v>
      </c>
      <c r="P160" s="22">
        <f t="shared" si="386"/>
        <v>0</v>
      </c>
      <c r="Q160" s="22">
        <f t="shared" si="387"/>
        <v>0</v>
      </c>
      <c r="R160" s="23"/>
    </row>
    <row r="161" spans="1:18" ht="18.75" customHeight="1" x14ac:dyDescent="0.35">
      <c r="A161" s="145" t="s">
        <v>59</v>
      </c>
      <c r="B161" s="145" t="s">
        <v>8</v>
      </c>
      <c r="C161" s="271">
        <v>302</v>
      </c>
      <c r="D161" s="20">
        <f>ROUND(C161/18,2)</f>
        <v>16.78</v>
      </c>
      <c r="E161" s="20"/>
      <c r="F161" s="21">
        <f>SUM(D161,E162:E163)</f>
        <v>16.78</v>
      </c>
      <c r="G161" s="81">
        <v>515</v>
      </c>
      <c r="H161" s="20">
        <f>ROUND(G161/18,2)</f>
        <v>28.61</v>
      </c>
      <c r="I161" s="20"/>
      <c r="J161" s="21">
        <f>SUM(H161,I162:I163)</f>
        <v>28.61</v>
      </c>
      <c r="K161" s="82"/>
      <c r="L161" s="20">
        <f>ROUND(K161/18,2)</f>
        <v>0</v>
      </c>
      <c r="M161" s="20"/>
      <c r="N161" s="21">
        <f>SUM(L161,M162:M163)</f>
        <v>0</v>
      </c>
      <c r="O161" s="22">
        <f t="shared" ref="O161:O172" si="388">SUMIF($C$3:$N$3,"SCH",C161:N161)</f>
        <v>817</v>
      </c>
      <c r="P161" s="22">
        <f>ROUND(O161/36,2)</f>
        <v>22.69</v>
      </c>
      <c r="Q161" s="22"/>
      <c r="R161" s="23">
        <f>SUM(P161,Q162:Q163)</f>
        <v>22.69</v>
      </c>
    </row>
    <row r="162" spans="1:18" ht="18.75" customHeight="1" x14ac:dyDescent="0.35">
      <c r="A162" s="145"/>
      <c r="B162" s="145" t="s">
        <v>9</v>
      </c>
      <c r="C162" s="271"/>
      <c r="D162" s="20">
        <f t="shared" ref="D162:D163" si="389">ROUND(C162/12,2)</f>
        <v>0</v>
      </c>
      <c r="E162" s="20">
        <f t="shared" ref="E162:E163" si="390">D162*2</f>
        <v>0</v>
      </c>
      <c r="F162" s="21"/>
      <c r="G162" s="81"/>
      <c r="H162" s="20">
        <f t="shared" ref="H162:H163" si="391">ROUND(G162/12,2)</f>
        <v>0</v>
      </c>
      <c r="I162" s="20">
        <f t="shared" ref="I162:I163" si="392">H162*2</f>
        <v>0</v>
      </c>
      <c r="J162" s="21"/>
      <c r="K162" s="82"/>
      <c r="L162" s="20">
        <f t="shared" ref="L162:L163" si="393">ROUND(K162/12,2)</f>
        <v>0</v>
      </c>
      <c r="M162" s="20">
        <f t="shared" ref="M162:M163" si="394">L162*2</f>
        <v>0</v>
      </c>
      <c r="N162" s="21"/>
      <c r="O162" s="22">
        <f t="shared" si="388"/>
        <v>0</v>
      </c>
      <c r="P162" s="22">
        <f t="shared" ref="P162:P163" si="395">ROUND(O162/24,2)</f>
        <v>0</v>
      </c>
      <c r="Q162" s="22">
        <f t="shared" ref="Q162:Q163" si="396">P162*2</f>
        <v>0</v>
      </c>
      <c r="R162" s="23"/>
    </row>
    <row r="163" spans="1:18" ht="18.75" customHeight="1" x14ac:dyDescent="0.35">
      <c r="A163" s="145"/>
      <c r="B163" s="145" t="s">
        <v>10</v>
      </c>
      <c r="C163" s="271"/>
      <c r="D163" s="20">
        <f t="shared" si="389"/>
        <v>0</v>
      </c>
      <c r="E163" s="20">
        <f t="shared" si="390"/>
        <v>0</v>
      </c>
      <c r="F163" s="21"/>
      <c r="G163" s="81"/>
      <c r="H163" s="20">
        <f t="shared" si="391"/>
        <v>0</v>
      </c>
      <c r="I163" s="20">
        <f t="shared" si="392"/>
        <v>0</v>
      </c>
      <c r="J163" s="21"/>
      <c r="K163" s="82"/>
      <c r="L163" s="20">
        <f t="shared" si="393"/>
        <v>0</v>
      </c>
      <c r="M163" s="20">
        <f t="shared" si="394"/>
        <v>0</v>
      </c>
      <c r="N163" s="21"/>
      <c r="O163" s="22">
        <f t="shared" si="388"/>
        <v>0</v>
      </c>
      <c r="P163" s="22">
        <f t="shared" si="395"/>
        <v>0</v>
      </c>
      <c r="Q163" s="22">
        <f t="shared" si="396"/>
        <v>0</v>
      </c>
      <c r="R163" s="23"/>
    </row>
    <row r="164" spans="1:18" ht="18.75" customHeight="1" x14ac:dyDescent="0.35">
      <c r="A164" s="145" t="s">
        <v>60</v>
      </c>
      <c r="B164" s="145" t="s">
        <v>8</v>
      </c>
      <c r="C164" s="271"/>
      <c r="D164" s="20">
        <f>ROUND(C164/18,2)</f>
        <v>0</v>
      </c>
      <c r="E164" s="20"/>
      <c r="F164" s="21">
        <f>SUM(D164,E165:E166)</f>
        <v>0</v>
      </c>
      <c r="G164" s="81"/>
      <c r="H164" s="20">
        <f>ROUND(G164/18,2)</f>
        <v>0</v>
      </c>
      <c r="I164" s="20"/>
      <c r="J164" s="21">
        <f>SUM(H164,I165:I166)</f>
        <v>0</v>
      </c>
      <c r="K164" s="82"/>
      <c r="L164" s="20">
        <f>ROUND(K164/18,2)</f>
        <v>0</v>
      </c>
      <c r="M164" s="20"/>
      <c r="N164" s="21">
        <f>SUM(L164,M165:M166)</f>
        <v>0</v>
      </c>
      <c r="O164" s="22">
        <f t="shared" si="388"/>
        <v>0</v>
      </c>
      <c r="P164" s="22">
        <f>ROUND(O164/36,2)</f>
        <v>0</v>
      </c>
      <c r="Q164" s="22"/>
      <c r="R164" s="23">
        <f>SUM(P164,Q165:Q166)</f>
        <v>0</v>
      </c>
    </row>
    <row r="165" spans="1:18" ht="18.75" customHeight="1" x14ac:dyDescent="0.35">
      <c r="A165" s="145"/>
      <c r="B165" s="145" t="s">
        <v>9</v>
      </c>
      <c r="C165" s="271"/>
      <c r="D165" s="20">
        <f t="shared" ref="D165:D166" si="397">ROUND(C165/12,2)</f>
        <v>0</v>
      </c>
      <c r="E165" s="20">
        <f t="shared" ref="E165:E166" si="398">D165*2</f>
        <v>0</v>
      </c>
      <c r="F165" s="21"/>
      <c r="G165" s="81"/>
      <c r="H165" s="20">
        <f t="shared" ref="H165:H166" si="399">ROUND(G165/12,2)</f>
        <v>0</v>
      </c>
      <c r="I165" s="20">
        <f t="shared" ref="I165:I166" si="400">H165*2</f>
        <v>0</v>
      </c>
      <c r="J165" s="21"/>
      <c r="K165" s="82"/>
      <c r="L165" s="20">
        <f t="shared" ref="L165:L166" si="401">ROUND(K165/12,2)</f>
        <v>0</v>
      </c>
      <c r="M165" s="20">
        <f t="shared" ref="M165:M166" si="402">L165*2</f>
        <v>0</v>
      </c>
      <c r="N165" s="21"/>
      <c r="O165" s="22">
        <f t="shared" si="388"/>
        <v>0</v>
      </c>
      <c r="P165" s="22">
        <f t="shared" ref="P165:P166" si="403">ROUND(O165/24,2)</f>
        <v>0</v>
      </c>
      <c r="Q165" s="22">
        <f t="shared" ref="Q165:Q166" si="404">P165*2</f>
        <v>0</v>
      </c>
      <c r="R165" s="23"/>
    </row>
    <row r="166" spans="1:18" ht="18.75" customHeight="1" x14ac:dyDescent="0.35">
      <c r="A166" s="145"/>
      <c r="B166" s="145" t="s">
        <v>10</v>
      </c>
      <c r="C166" s="271"/>
      <c r="D166" s="20">
        <f t="shared" si="397"/>
        <v>0</v>
      </c>
      <c r="E166" s="20">
        <f t="shared" si="398"/>
        <v>0</v>
      </c>
      <c r="F166" s="21"/>
      <c r="G166" s="81"/>
      <c r="H166" s="20">
        <f t="shared" si="399"/>
        <v>0</v>
      </c>
      <c r="I166" s="20">
        <f t="shared" si="400"/>
        <v>0</v>
      </c>
      <c r="J166" s="21"/>
      <c r="K166" s="82"/>
      <c r="L166" s="20">
        <f t="shared" si="401"/>
        <v>0</v>
      </c>
      <c r="M166" s="20">
        <f t="shared" si="402"/>
        <v>0</v>
      </c>
      <c r="N166" s="21"/>
      <c r="O166" s="22">
        <f t="shared" si="388"/>
        <v>0</v>
      </c>
      <c r="P166" s="22">
        <f t="shared" si="403"/>
        <v>0</v>
      </c>
      <c r="Q166" s="22">
        <f t="shared" si="404"/>
        <v>0</v>
      </c>
      <c r="R166" s="23"/>
    </row>
    <row r="167" spans="1:18" ht="18.75" customHeight="1" x14ac:dyDescent="0.35">
      <c r="A167" s="145" t="s">
        <v>61</v>
      </c>
      <c r="B167" s="145" t="s">
        <v>8</v>
      </c>
      <c r="C167" s="271"/>
      <c r="D167" s="20">
        <f>ROUND(C167/18,2)</f>
        <v>0</v>
      </c>
      <c r="E167" s="20"/>
      <c r="F167" s="21">
        <f>SUM(D167,E168:E169)</f>
        <v>20.5</v>
      </c>
      <c r="G167" s="81"/>
      <c r="H167" s="20">
        <f>ROUND(G167/18,2)</f>
        <v>0</v>
      </c>
      <c r="I167" s="20"/>
      <c r="J167" s="21">
        <f>SUM(H167,I168:I169)</f>
        <v>15.5</v>
      </c>
      <c r="K167" s="82"/>
      <c r="L167" s="20">
        <f>ROUND(K167/18,2)</f>
        <v>0</v>
      </c>
      <c r="M167" s="20"/>
      <c r="N167" s="21">
        <f>SUM(L167,M168:M169)</f>
        <v>0</v>
      </c>
      <c r="O167" s="22">
        <f t="shared" si="388"/>
        <v>0</v>
      </c>
      <c r="P167" s="22">
        <f>ROUND(O167/36,2)</f>
        <v>0</v>
      </c>
      <c r="Q167" s="22"/>
      <c r="R167" s="23">
        <f>SUM(P167,Q168:Q169)</f>
        <v>18</v>
      </c>
    </row>
    <row r="168" spans="1:18" ht="18.75" customHeight="1" x14ac:dyDescent="0.35">
      <c r="A168" s="145"/>
      <c r="B168" s="145" t="s">
        <v>9</v>
      </c>
      <c r="C168" s="271">
        <v>123</v>
      </c>
      <c r="D168" s="20">
        <f t="shared" ref="D168:D169" si="405">ROUND(C168/12,2)</f>
        <v>10.25</v>
      </c>
      <c r="E168" s="20">
        <f t="shared" ref="E168:E169" si="406">D168*2</f>
        <v>20.5</v>
      </c>
      <c r="F168" s="21"/>
      <c r="G168" s="81">
        <v>93</v>
      </c>
      <c r="H168" s="20">
        <f t="shared" ref="H168:H169" si="407">ROUND(G168/12,2)</f>
        <v>7.75</v>
      </c>
      <c r="I168" s="20">
        <f t="shared" ref="I168:I169" si="408">H168*2</f>
        <v>15.5</v>
      </c>
      <c r="J168" s="21"/>
      <c r="K168" s="82"/>
      <c r="L168" s="20">
        <f t="shared" ref="L168:L169" si="409">ROUND(K168/12,2)</f>
        <v>0</v>
      </c>
      <c r="M168" s="20">
        <f t="shared" ref="M168:M169" si="410">L168*2</f>
        <v>0</v>
      </c>
      <c r="N168" s="21"/>
      <c r="O168" s="22">
        <f t="shared" si="388"/>
        <v>216</v>
      </c>
      <c r="P168" s="22">
        <f t="shared" ref="P168:P169" si="411">ROUND(O168/24,2)</f>
        <v>9</v>
      </c>
      <c r="Q168" s="22">
        <f t="shared" ref="Q168:Q169" si="412">P168*2</f>
        <v>18</v>
      </c>
      <c r="R168" s="23"/>
    </row>
    <row r="169" spans="1:18" ht="18.75" customHeight="1" x14ac:dyDescent="0.35">
      <c r="A169" s="145"/>
      <c r="B169" s="145" t="s">
        <v>10</v>
      </c>
      <c r="C169" s="271"/>
      <c r="D169" s="20">
        <f t="shared" si="405"/>
        <v>0</v>
      </c>
      <c r="E169" s="20">
        <f t="shared" si="406"/>
        <v>0</v>
      </c>
      <c r="F169" s="21"/>
      <c r="G169" s="81"/>
      <c r="H169" s="20">
        <f t="shared" si="407"/>
        <v>0</v>
      </c>
      <c r="I169" s="20">
        <f t="shared" si="408"/>
        <v>0</v>
      </c>
      <c r="J169" s="21"/>
      <c r="K169" s="82"/>
      <c r="L169" s="20">
        <f t="shared" si="409"/>
        <v>0</v>
      </c>
      <c r="M169" s="20">
        <f t="shared" si="410"/>
        <v>0</v>
      </c>
      <c r="N169" s="21"/>
      <c r="O169" s="22">
        <f t="shared" si="388"/>
        <v>0</v>
      </c>
      <c r="P169" s="22">
        <f t="shared" si="411"/>
        <v>0</v>
      </c>
      <c r="Q169" s="22">
        <f t="shared" si="412"/>
        <v>0</v>
      </c>
      <c r="R169" s="23"/>
    </row>
    <row r="170" spans="1:18" ht="18.75" customHeight="1" x14ac:dyDescent="0.35">
      <c r="A170" s="173" t="s">
        <v>22</v>
      </c>
      <c r="B170" s="151" t="s">
        <v>8</v>
      </c>
      <c r="C170" s="93">
        <f>SUMIF($B$151:$B$169,"ปริญญาตรี",C151:C169)</f>
        <v>302</v>
      </c>
      <c r="D170" s="32">
        <f>ROUND(C170/18,2)</f>
        <v>16.78</v>
      </c>
      <c r="E170" s="32"/>
      <c r="F170" s="33">
        <f>SUM(D170,E171:E172)</f>
        <v>37.28</v>
      </c>
      <c r="G170" s="93">
        <f>SUMIF($B$151:$B$169,"ปริญญาตรี",G151:G169)</f>
        <v>515</v>
      </c>
      <c r="H170" s="32">
        <f>ROUND(G170/18,2)</f>
        <v>28.61</v>
      </c>
      <c r="I170" s="32"/>
      <c r="J170" s="33">
        <f>SUM(H170,I171:I172)</f>
        <v>44.11</v>
      </c>
      <c r="K170" s="93">
        <f>SUMIF($B$151:$B$169,"ปริญญาตรี",K151:K169)</f>
        <v>0</v>
      </c>
      <c r="L170" s="32">
        <f>ROUND(K170/18,2)</f>
        <v>0</v>
      </c>
      <c r="M170" s="32"/>
      <c r="N170" s="33">
        <f>SUM(L170,M171:M172)</f>
        <v>0</v>
      </c>
      <c r="O170" s="136">
        <f t="shared" si="388"/>
        <v>817</v>
      </c>
      <c r="P170" s="34">
        <f>ROUND(O170/36,2)</f>
        <v>22.69</v>
      </c>
      <c r="Q170" s="34"/>
      <c r="R170" s="23">
        <f>SUM(P170,Q171:Q172)</f>
        <v>40.69</v>
      </c>
    </row>
    <row r="171" spans="1:18" ht="18.75" customHeight="1" x14ac:dyDescent="0.35">
      <c r="A171" s="174" t="s">
        <v>22</v>
      </c>
      <c r="B171" s="151" t="s">
        <v>9</v>
      </c>
      <c r="C171" s="93">
        <f>SUMIF($B$151:$B$169,"ปริญญาโท",C151:C169)</f>
        <v>123</v>
      </c>
      <c r="D171" s="32">
        <f t="shared" ref="D171:D172" si="413">ROUND(C171/12,2)</f>
        <v>10.25</v>
      </c>
      <c r="E171" s="32">
        <f t="shared" ref="E171:E172" si="414">D171*2</f>
        <v>20.5</v>
      </c>
      <c r="F171" s="33"/>
      <c r="G171" s="93">
        <f>SUMIF($B$151:$B$169,"ปริญญาโท",G151:G169)</f>
        <v>93</v>
      </c>
      <c r="H171" s="32">
        <f t="shared" ref="H171:H172" si="415">ROUND(G171/12,2)</f>
        <v>7.75</v>
      </c>
      <c r="I171" s="32">
        <f t="shared" ref="I171:I172" si="416">H171*2</f>
        <v>15.5</v>
      </c>
      <c r="J171" s="33"/>
      <c r="K171" s="93">
        <f>SUMIF($B$151:$B$169,"ปริญญาโท",K151:K169)</f>
        <v>0</v>
      </c>
      <c r="L171" s="32">
        <f t="shared" ref="L171:L172" si="417">ROUND(K171/12,2)</f>
        <v>0</v>
      </c>
      <c r="M171" s="32">
        <f t="shared" ref="M171:M172" si="418">L171*2</f>
        <v>0</v>
      </c>
      <c r="N171" s="33"/>
      <c r="O171" s="136">
        <f t="shared" si="388"/>
        <v>216</v>
      </c>
      <c r="P171" s="34">
        <f t="shared" ref="P171:P172" si="419">ROUND(O171/24,2)</f>
        <v>9</v>
      </c>
      <c r="Q171" s="34">
        <f t="shared" ref="Q171:Q172" si="420">P171*2</f>
        <v>18</v>
      </c>
      <c r="R171" s="23"/>
    </row>
    <row r="172" spans="1:18" ht="18.75" customHeight="1" thickBot="1" x14ac:dyDescent="0.4">
      <c r="A172" s="175" t="s">
        <v>22</v>
      </c>
      <c r="B172" s="152" t="s">
        <v>10</v>
      </c>
      <c r="C172" s="94">
        <f>SUMIF($B$151:$B$169,"ปริญญาเอก",C151:C169)</f>
        <v>0</v>
      </c>
      <c r="D172" s="35">
        <f t="shared" si="413"/>
        <v>0</v>
      </c>
      <c r="E172" s="35">
        <f t="shared" si="414"/>
        <v>0</v>
      </c>
      <c r="F172" s="36"/>
      <c r="G172" s="94">
        <f>SUMIF($B$151:$B$169,"ปริญญาเอก",G151:G169)</f>
        <v>0</v>
      </c>
      <c r="H172" s="35">
        <f t="shared" si="415"/>
        <v>0</v>
      </c>
      <c r="I172" s="35">
        <f t="shared" si="416"/>
        <v>0</v>
      </c>
      <c r="J172" s="36"/>
      <c r="K172" s="94">
        <f>SUMIF($B$151:$B$169,"ปริญญาเอก",K151:K169)</f>
        <v>0</v>
      </c>
      <c r="L172" s="35">
        <f t="shared" si="417"/>
        <v>0</v>
      </c>
      <c r="M172" s="35">
        <f t="shared" si="418"/>
        <v>0</v>
      </c>
      <c r="N172" s="36"/>
      <c r="O172" s="137">
        <f t="shared" si="388"/>
        <v>0</v>
      </c>
      <c r="P172" s="37">
        <f t="shared" si="419"/>
        <v>0</v>
      </c>
      <c r="Q172" s="37">
        <f t="shared" si="420"/>
        <v>0</v>
      </c>
      <c r="R172" s="27"/>
    </row>
    <row r="173" spans="1:18" ht="18.75" customHeight="1" x14ac:dyDescent="0.35">
      <c r="A173" s="148" t="s">
        <v>62</v>
      </c>
      <c r="B173" s="149"/>
      <c r="C173" s="80"/>
      <c r="D173" s="28"/>
      <c r="E173" s="28"/>
      <c r="F173" s="29"/>
      <c r="G173" s="79"/>
      <c r="H173" s="28"/>
      <c r="I173" s="28"/>
      <c r="J173" s="29"/>
      <c r="K173" s="80"/>
      <c r="L173" s="28"/>
      <c r="M173" s="28"/>
      <c r="N173" s="29"/>
      <c r="O173" s="66"/>
      <c r="P173" s="30"/>
      <c r="Q173" s="30"/>
      <c r="R173" s="31"/>
    </row>
    <row r="174" spans="1:18" ht="18.75" customHeight="1" x14ac:dyDescent="0.35">
      <c r="A174" s="145" t="s">
        <v>7</v>
      </c>
      <c r="B174" s="145" t="s">
        <v>8</v>
      </c>
      <c r="C174" s="271">
        <v>1142</v>
      </c>
      <c r="D174" s="20">
        <f>ROUND(C174/18,2)</f>
        <v>63.44</v>
      </c>
      <c r="E174" s="20"/>
      <c r="F174" s="21">
        <f>SUM(D174,E175:E176)</f>
        <v>63.44</v>
      </c>
      <c r="G174" s="81">
        <v>1205</v>
      </c>
      <c r="H174" s="20">
        <f>ROUND(G174/18,2)</f>
        <v>66.94</v>
      </c>
      <c r="I174" s="20"/>
      <c r="J174" s="21">
        <f>SUM(H174,I175:I176)</f>
        <v>66.94</v>
      </c>
      <c r="K174" s="82">
        <v>516</v>
      </c>
      <c r="L174" s="20">
        <f>ROUND(K174/18,2)</f>
        <v>28.67</v>
      </c>
      <c r="M174" s="20"/>
      <c r="N174" s="21">
        <f>SUM(L174,M175:M176)</f>
        <v>28.67</v>
      </c>
      <c r="O174" s="22">
        <f>SUMIF($C$3:$N$3,"SCH",C174:N174)</f>
        <v>2863</v>
      </c>
      <c r="P174" s="22">
        <f>ROUND(O174/36,2)</f>
        <v>79.53</v>
      </c>
      <c r="Q174" s="22"/>
      <c r="R174" s="23">
        <f>SUM(P174,Q175:Q176)</f>
        <v>79.53</v>
      </c>
    </row>
    <row r="175" spans="1:18" ht="18.75" customHeight="1" x14ac:dyDescent="0.35">
      <c r="A175" s="176"/>
      <c r="B175" s="145" t="s">
        <v>9</v>
      </c>
      <c r="C175" s="271"/>
      <c r="D175" s="20">
        <f t="shared" ref="D175:D176" si="421">ROUND(C175/12,2)</f>
        <v>0</v>
      </c>
      <c r="E175" s="20">
        <f t="shared" ref="E175:E176" si="422">D175*1.8</f>
        <v>0</v>
      </c>
      <c r="F175" s="21"/>
      <c r="G175" s="81"/>
      <c r="H175" s="20">
        <f t="shared" ref="H175:H176" si="423">ROUND(G175/12,2)</f>
        <v>0</v>
      </c>
      <c r="I175" s="20">
        <f t="shared" ref="I175:I176" si="424">H175*1.8</f>
        <v>0</v>
      </c>
      <c r="J175" s="21"/>
      <c r="K175" s="82"/>
      <c r="L175" s="20">
        <f t="shared" ref="L175:L176" si="425">ROUND(K175/12,2)</f>
        <v>0</v>
      </c>
      <c r="M175" s="20">
        <f t="shared" ref="M175:M176" si="426">L175*1.8</f>
        <v>0</v>
      </c>
      <c r="N175" s="21"/>
      <c r="O175" s="22">
        <f>SUMIF($C$3:$N$3,"SCH",C175:N175)</f>
        <v>0</v>
      </c>
      <c r="P175" s="22">
        <f t="shared" ref="P175:P176" si="427">ROUND(O175/24,2)</f>
        <v>0</v>
      </c>
      <c r="Q175" s="22">
        <f t="shared" ref="Q175:Q176" si="428">P175*1.8</f>
        <v>0</v>
      </c>
      <c r="R175" s="23"/>
    </row>
    <row r="176" spans="1:18" ht="18.75" customHeight="1" thickBot="1" x14ac:dyDescent="0.4">
      <c r="A176" s="164"/>
      <c r="B176" s="146" t="s">
        <v>10</v>
      </c>
      <c r="C176" s="272"/>
      <c r="D176" s="24">
        <f t="shared" si="421"/>
        <v>0</v>
      </c>
      <c r="E176" s="24">
        <f t="shared" si="422"/>
        <v>0</v>
      </c>
      <c r="F176" s="25"/>
      <c r="G176" s="83"/>
      <c r="H176" s="24">
        <f t="shared" si="423"/>
        <v>0</v>
      </c>
      <c r="I176" s="24">
        <f t="shared" si="424"/>
        <v>0</v>
      </c>
      <c r="J176" s="25"/>
      <c r="K176" s="84"/>
      <c r="L176" s="24">
        <f t="shared" si="425"/>
        <v>0</v>
      </c>
      <c r="M176" s="24">
        <f t="shared" si="426"/>
        <v>0</v>
      </c>
      <c r="N176" s="25"/>
      <c r="O176" s="92">
        <f>SUMIF($C$3:$N$3,"SCH",C176:N176)</f>
        <v>0</v>
      </c>
      <c r="P176" s="26">
        <f t="shared" si="427"/>
        <v>0</v>
      </c>
      <c r="Q176" s="26">
        <f t="shared" si="428"/>
        <v>0</v>
      </c>
      <c r="R176" s="27"/>
    </row>
    <row r="177" spans="1:24" ht="18.75" customHeight="1" x14ac:dyDescent="0.35">
      <c r="A177" s="148" t="s">
        <v>63</v>
      </c>
      <c r="B177" s="149"/>
      <c r="C177" s="274"/>
      <c r="D177" s="28"/>
      <c r="E177" s="28"/>
      <c r="F177" s="29"/>
      <c r="G177" s="79"/>
      <c r="H177" s="28"/>
      <c r="I177" s="28"/>
      <c r="J177" s="29"/>
      <c r="K177" s="80"/>
      <c r="L177" s="28"/>
      <c r="M177" s="28"/>
      <c r="N177" s="29"/>
      <c r="O177" s="30"/>
      <c r="P177" s="30"/>
      <c r="Q177" s="30"/>
      <c r="R177" s="31"/>
      <c r="S177" s="67"/>
      <c r="V177" s="68"/>
      <c r="W177" s="68"/>
      <c r="X177" s="68"/>
    </row>
    <row r="178" spans="1:24" ht="18.75" customHeight="1" x14ac:dyDescent="0.35">
      <c r="A178" s="153" t="s">
        <v>7</v>
      </c>
      <c r="B178" s="153" t="s">
        <v>8</v>
      </c>
      <c r="C178" s="275">
        <v>0</v>
      </c>
      <c r="D178" s="20">
        <f>ROUND(C178/18,2)</f>
        <v>0</v>
      </c>
      <c r="E178" s="20"/>
      <c r="F178" s="21">
        <f>SUM(D178,E179:E181)</f>
        <v>0</v>
      </c>
      <c r="G178" s="285">
        <v>0</v>
      </c>
      <c r="H178" s="20">
        <f>ROUND(G178/18,2)</f>
        <v>0</v>
      </c>
      <c r="I178" s="20"/>
      <c r="J178" s="21">
        <f>SUM(H178,I179:I181)</f>
        <v>0</v>
      </c>
      <c r="K178" s="82">
        <v>0</v>
      </c>
      <c r="L178" s="20">
        <f>ROUND(K178/18,2)</f>
        <v>0</v>
      </c>
      <c r="M178" s="20"/>
      <c r="N178" s="21">
        <f>SUM(L178,M179:M181)</f>
        <v>0</v>
      </c>
      <c r="O178" s="22">
        <f>SUMIF($C$3:$N$3,"SCH",C178:N178)</f>
        <v>0</v>
      </c>
      <c r="P178" s="22">
        <f>ROUND(O178/36,2)</f>
        <v>0</v>
      </c>
      <c r="Q178" s="22"/>
      <c r="R178" s="23">
        <f>SUM(P178,Q179:Q181)</f>
        <v>0</v>
      </c>
      <c r="V178" s="69"/>
      <c r="W178" s="69"/>
      <c r="X178" s="68"/>
    </row>
    <row r="179" spans="1:24" ht="18.75" customHeight="1" x14ac:dyDescent="0.35">
      <c r="A179" s="172"/>
      <c r="B179" s="145" t="s">
        <v>64</v>
      </c>
      <c r="C179" s="271">
        <v>0</v>
      </c>
      <c r="D179" s="20">
        <f t="shared" ref="D179:D181" si="429">ROUND(C179/12,2)</f>
        <v>0</v>
      </c>
      <c r="E179" s="20">
        <f t="shared" ref="E179:E181" si="430">D179*1.5</f>
        <v>0</v>
      </c>
      <c r="F179" s="21"/>
      <c r="G179" s="285">
        <v>0</v>
      </c>
      <c r="H179" s="20">
        <f t="shared" ref="H179:H181" si="431">ROUND(G179/12,2)</f>
        <v>0</v>
      </c>
      <c r="I179" s="20">
        <f t="shared" ref="I179:I181" si="432">H179*1.5</f>
        <v>0</v>
      </c>
      <c r="J179" s="21"/>
      <c r="K179" s="82">
        <v>0</v>
      </c>
      <c r="L179" s="20">
        <f t="shared" ref="L179:L181" si="433">ROUND(K179/12,2)</f>
        <v>0</v>
      </c>
      <c r="M179" s="20">
        <f t="shared" ref="M179:M181" si="434">L179*1.5</f>
        <v>0</v>
      </c>
      <c r="N179" s="21"/>
      <c r="O179" s="22">
        <f t="shared" ref="O179:O209" si="435">SUMIF($C$3:$N$3,"SCH",C179:N179)</f>
        <v>0</v>
      </c>
      <c r="P179" s="22">
        <f t="shared" ref="P179:P181" si="436">ROUND(O179/24,2)</f>
        <v>0</v>
      </c>
      <c r="Q179" s="22">
        <f t="shared" ref="Q179:Q181" si="437">P179*1.5</f>
        <v>0</v>
      </c>
      <c r="R179" s="23"/>
      <c r="V179" s="68"/>
      <c r="W179" s="68"/>
      <c r="X179" s="68"/>
    </row>
    <row r="180" spans="1:24" ht="18.75" customHeight="1" x14ac:dyDescent="0.35">
      <c r="A180" s="145"/>
      <c r="B180" s="145" t="s">
        <v>9</v>
      </c>
      <c r="C180" s="271">
        <v>0</v>
      </c>
      <c r="D180" s="20">
        <f t="shared" si="429"/>
        <v>0</v>
      </c>
      <c r="E180" s="20">
        <f t="shared" si="430"/>
        <v>0</v>
      </c>
      <c r="F180" s="21"/>
      <c r="G180" s="285">
        <v>0</v>
      </c>
      <c r="H180" s="20">
        <f t="shared" si="431"/>
        <v>0</v>
      </c>
      <c r="I180" s="20">
        <f t="shared" si="432"/>
        <v>0</v>
      </c>
      <c r="J180" s="21"/>
      <c r="K180" s="82">
        <v>0</v>
      </c>
      <c r="L180" s="20">
        <f t="shared" si="433"/>
        <v>0</v>
      </c>
      <c r="M180" s="20">
        <f t="shared" si="434"/>
        <v>0</v>
      </c>
      <c r="N180" s="21"/>
      <c r="O180" s="22">
        <f t="shared" si="435"/>
        <v>0</v>
      </c>
      <c r="P180" s="22">
        <f t="shared" si="436"/>
        <v>0</v>
      </c>
      <c r="Q180" s="22">
        <f t="shared" si="437"/>
        <v>0</v>
      </c>
      <c r="R180" s="23"/>
      <c r="V180" s="68"/>
      <c r="W180" s="68"/>
      <c r="X180" s="68"/>
    </row>
    <row r="181" spans="1:24" ht="18.75" customHeight="1" x14ac:dyDescent="0.35">
      <c r="A181" s="145"/>
      <c r="B181" s="145" t="s">
        <v>10</v>
      </c>
      <c r="C181" s="271">
        <v>0</v>
      </c>
      <c r="D181" s="20">
        <f t="shared" si="429"/>
        <v>0</v>
      </c>
      <c r="E181" s="20">
        <f t="shared" si="430"/>
        <v>0</v>
      </c>
      <c r="F181" s="21"/>
      <c r="G181" s="285">
        <v>0</v>
      </c>
      <c r="H181" s="20">
        <f t="shared" si="431"/>
        <v>0</v>
      </c>
      <c r="I181" s="20">
        <f t="shared" si="432"/>
        <v>0</v>
      </c>
      <c r="J181" s="21"/>
      <c r="K181" s="82">
        <v>0</v>
      </c>
      <c r="L181" s="20">
        <f t="shared" si="433"/>
        <v>0</v>
      </c>
      <c r="M181" s="20">
        <f t="shared" si="434"/>
        <v>0</v>
      </c>
      <c r="N181" s="21"/>
      <c r="O181" s="22">
        <f t="shared" si="435"/>
        <v>0</v>
      </c>
      <c r="P181" s="22">
        <f t="shared" si="436"/>
        <v>0</v>
      </c>
      <c r="Q181" s="22">
        <f t="shared" si="437"/>
        <v>0</v>
      </c>
      <c r="R181" s="23"/>
      <c r="T181" s="70"/>
    </row>
    <row r="182" spans="1:24" ht="18.75" customHeight="1" x14ac:dyDescent="0.35">
      <c r="A182" s="145" t="s">
        <v>65</v>
      </c>
      <c r="B182" s="145" t="s">
        <v>8</v>
      </c>
      <c r="C182" s="271">
        <v>2984</v>
      </c>
      <c r="D182" s="20">
        <f>ROUND(C182/18,2)</f>
        <v>165.78</v>
      </c>
      <c r="E182" s="20"/>
      <c r="F182" s="21">
        <f>SUM(D182,E183:E185)</f>
        <v>256.27499999999998</v>
      </c>
      <c r="G182" s="285">
        <v>518</v>
      </c>
      <c r="H182" s="20">
        <f>ROUND(G182/18,2)</f>
        <v>28.78</v>
      </c>
      <c r="I182" s="20"/>
      <c r="J182" s="21">
        <f>SUM(H182,I183:I185)</f>
        <v>192.535</v>
      </c>
      <c r="K182" s="82">
        <v>0</v>
      </c>
      <c r="L182" s="20">
        <f>ROUND(K182/18,2)</f>
        <v>0</v>
      </c>
      <c r="M182" s="20"/>
      <c r="N182" s="21">
        <f>SUM(L182,M183:M185)</f>
        <v>66.63</v>
      </c>
      <c r="O182" s="22">
        <f t="shared" si="435"/>
        <v>3502</v>
      </c>
      <c r="P182" s="22">
        <f>ROUND(O182/36,2)</f>
        <v>97.28</v>
      </c>
      <c r="Q182" s="22"/>
      <c r="R182" s="23">
        <f>SUM(P182,Q183:Q185)</f>
        <v>257.72000000000003</v>
      </c>
    </row>
    <row r="183" spans="1:24" ht="18.75" customHeight="1" x14ac:dyDescent="0.35">
      <c r="A183" s="145"/>
      <c r="B183" s="145" t="s">
        <v>64</v>
      </c>
      <c r="C183" s="271">
        <v>0</v>
      </c>
      <c r="D183" s="20">
        <f t="shared" ref="D183:D185" si="438">ROUND(C183/12,2)</f>
        <v>0</v>
      </c>
      <c r="E183" s="20">
        <f t="shared" ref="E183:E185" si="439">D183*1.5</f>
        <v>0</v>
      </c>
      <c r="F183" s="21"/>
      <c r="G183" s="285">
        <v>672</v>
      </c>
      <c r="H183" s="20">
        <f t="shared" ref="H183:H185" si="440">ROUND(G183/12,2)</f>
        <v>56</v>
      </c>
      <c r="I183" s="20">
        <f t="shared" ref="I183:I185" si="441">H183*1.5</f>
        <v>84</v>
      </c>
      <c r="J183" s="21"/>
      <c r="K183" s="82">
        <v>416</v>
      </c>
      <c r="L183" s="20">
        <f t="shared" ref="L183:L185" si="442">ROUND(K183/12,2)</f>
        <v>34.67</v>
      </c>
      <c r="M183" s="20">
        <f t="shared" ref="M183:M185" si="443">L183*1.5</f>
        <v>52.005000000000003</v>
      </c>
      <c r="N183" s="21"/>
      <c r="O183" s="22">
        <f t="shared" si="435"/>
        <v>1088</v>
      </c>
      <c r="P183" s="22">
        <f t="shared" ref="P183:P185" si="444">ROUND(O183/24,2)</f>
        <v>45.33</v>
      </c>
      <c r="Q183" s="22">
        <f t="shared" ref="Q183:Q185" si="445">P183*1.5</f>
        <v>67.995000000000005</v>
      </c>
      <c r="R183" s="23"/>
    </row>
    <row r="184" spans="1:24" ht="18.75" customHeight="1" x14ac:dyDescent="0.35">
      <c r="A184" s="145"/>
      <c r="B184" s="145" t="s">
        <v>9</v>
      </c>
      <c r="C184" s="271">
        <v>724</v>
      </c>
      <c r="D184" s="20">
        <f t="shared" si="438"/>
        <v>60.33</v>
      </c>
      <c r="E184" s="20">
        <f t="shared" si="439"/>
        <v>90.495000000000005</v>
      </c>
      <c r="F184" s="21"/>
      <c r="G184" s="285">
        <v>638</v>
      </c>
      <c r="H184" s="20">
        <f t="shared" si="440"/>
        <v>53.17</v>
      </c>
      <c r="I184" s="20">
        <f t="shared" si="441"/>
        <v>79.754999999999995</v>
      </c>
      <c r="J184" s="21"/>
      <c r="K184" s="82">
        <v>117</v>
      </c>
      <c r="L184" s="20">
        <f t="shared" si="442"/>
        <v>9.75</v>
      </c>
      <c r="M184" s="20">
        <f t="shared" si="443"/>
        <v>14.625</v>
      </c>
      <c r="N184" s="21"/>
      <c r="O184" s="22">
        <f t="shared" si="435"/>
        <v>1479</v>
      </c>
      <c r="P184" s="22">
        <f t="shared" si="444"/>
        <v>61.63</v>
      </c>
      <c r="Q184" s="22">
        <f t="shared" si="445"/>
        <v>92.445000000000007</v>
      </c>
      <c r="R184" s="23"/>
    </row>
    <row r="185" spans="1:24" ht="18.75" customHeight="1" x14ac:dyDescent="0.35">
      <c r="A185" s="145"/>
      <c r="B185" s="145" t="s">
        <v>10</v>
      </c>
      <c r="C185" s="271">
        <v>0</v>
      </c>
      <c r="D185" s="20">
        <f t="shared" si="438"/>
        <v>0</v>
      </c>
      <c r="E185" s="20">
        <f t="shared" si="439"/>
        <v>0</v>
      </c>
      <c r="F185" s="21"/>
      <c r="G185" s="285">
        <v>0</v>
      </c>
      <c r="H185" s="20">
        <f t="shared" si="440"/>
        <v>0</v>
      </c>
      <c r="I185" s="20">
        <f t="shared" si="441"/>
        <v>0</v>
      </c>
      <c r="J185" s="21"/>
      <c r="K185" s="82">
        <v>0</v>
      </c>
      <c r="L185" s="20">
        <f t="shared" si="442"/>
        <v>0</v>
      </c>
      <c r="M185" s="20">
        <f t="shared" si="443"/>
        <v>0</v>
      </c>
      <c r="N185" s="21"/>
      <c r="O185" s="22">
        <f t="shared" si="435"/>
        <v>0</v>
      </c>
      <c r="P185" s="22">
        <f t="shared" si="444"/>
        <v>0</v>
      </c>
      <c r="Q185" s="22">
        <f t="shared" si="445"/>
        <v>0</v>
      </c>
      <c r="R185" s="23"/>
    </row>
    <row r="186" spans="1:24" ht="18.75" customHeight="1" x14ac:dyDescent="0.35">
      <c r="A186" s="145" t="s">
        <v>66</v>
      </c>
      <c r="B186" s="145" t="s">
        <v>8</v>
      </c>
      <c r="C186" s="271">
        <v>0</v>
      </c>
      <c r="D186" s="20">
        <f>ROUND(C186/18,2)</f>
        <v>0</v>
      </c>
      <c r="E186" s="20"/>
      <c r="F186" s="21">
        <f>SUM(D186,E187:E189)</f>
        <v>246</v>
      </c>
      <c r="G186" s="285">
        <v>0</v>
      </c>
      <c r="H186" s="20">
        <f>ROUND(G186/18,2)</f>
        <v>0</v>
      </c>
      <c r="I186" s="20"/>
      <c r="J186" s="21">
        <f>SUM(H186,I187:I189)</f>
        <v>245.25</v>
      </c>
      <c r="K186" s="82">
        <v>0</v>
      </c>
      <c r="L186" s="20">
        <f>ROUND(K186/18,2)</f>
        <v>0</v>
      </c>
      <c r="M186" s="20"/>
      <c r="N186" s="21">
        <f>SUM(L186,M187:M189)</f>
        <v>76.5</v>
      </c>
      <c r="O186" s="22">
        <f t="shared" si="435"/>
        <v>0</v>
      </c>
      <c r="P186" s="22">
        <f>ROUND(O186/36,2)</f>
        <v>0</v>
      </c>
      <c r="Q186" s="22"/>
      <c r="R186" s="23">
        <f>SUM(P186,Q187:Q189)</f>
        <v>283.89</v>
      </c>
      <c r="T186" s="70"/>
    </row>
    <row r="187" spans="1:24" ht="18.75" customHeight="1" x14ac:dyDescent="0.35">
      <c r="A187" s="145"/>
      <c r="B187" s="145" t="s">
        <v>64</v>
      </c>
      <c r="C187" s="271">
        <v>0</v>
      </c>
      <c r="D187" s="20">
        <f t="shared" ref="D187:D189" si="446">ROUND(C187/12,2)</f>
        <v>0</v>
      </c>
      <c r="E187" s="20">
        <f t="shared" ref="E187:E189" si="447">D187*1.5</f>
        <v>0</v>
      </c>
      <c r="F187" s="21"/>
      <c r="G187" s="285">
        <v>0</v>
      </c>
      <c r="H187" s="20">
        <f t="shared" ref="H187:H189" si="448">ROUND(G187/12,2)</f>
        <v>0</v>
      </c>
      <c r="I187" s="20">
        <f t="shared" ref="I187:I189" si="449">H187*1.5</f>
        <v>0</v>
      </c>
      <c r="J187" s="21"/>
      <c r="K187" s="82">
        <v>0</v>
      </c>
      <c r="L187" s="20">
        <f t="shared" ref="L187:L189" si="450">ROUND(K187/12,2)</f>
        <v>0</v>
      </c>
      <c r="M187" s="20">
        <f t="shared" ref="M187:M189" si="451">L187*1.5</f>
        <v>0</v>
      </c>
      <c r="N187" s="21"/>
      <c r="O187" s="22">
        <f t="shared" si="435"/>
        <v>0</v>
      </c>
      <c r="P187" s="22">
        <f t="shared" ref="P187:P189" si="452">ROUND(O187/24,2)</f>
        <v>0</v>
      </c>
      <c r="Q187" s="22">
        <f t="shared" ref="Q187:Q189" si="453">P187*1.5</f>
        <v>0</v>
      </c>
      <c r="R187" s="23"/>
    </row>
    <row r="188" spans="1:24" ht="18.75" customHeight="1" x14ac:dyDescent="0.35">
      <c r="A188" s="145"/>
      <c r="B188" s="145" t="s">
        <v>9</v>
      </c>
      <c r="C188" s="271">
        <v>1959</v>
      </c>
      <c r="D188" s="20">
        <f t="shared" si="446"/>
        <v>163.25</v>
      </c>
      <c r="E188" s="20">
        <f t="shared" si="447"/>
        <v>244.875</v>
      </c>
      <c r="F188" s="21"/>
      <c r="G188" s="285">
        <v>1956</v>
      </c>
      <c r="H188" s="20">
        <f t="shared" si="448"/>
        <v>163</v>
      </c>
      <c r="I188" s="20">
        <f t="shared" si="449"/>
        <v>244.5</v>
      </c>
      <c r="J188" s="21"/>
      <c r="K188" s="82">
        <v>612</v>
      </c>
      <c r="L188" s="20">
        <f t="shared" si="450"/>
        <v>51</v>
      </c>
      <c r="M188" s="20">
        <f t="shared" si="451"/>
        <v>76.5</v>
      </c>
      <c r="N188" s="21"/>
      <c r="O188" s="22">
        <f t="shared" si="435"/>
        <v>4527</v>
      </c>
      <c r="P188" s="22">
        <f t="shared" si="452"/>
        <v>188.63</v>
      </c>
      <c r="Q188" s="22">
        <f t="shared" si="453"/>
        <v>282.94499999999999</v>
      </c>
      <c r="R188" s="23"/>
    </row>
    <row r="189" spans="1:24" ht="18.75" customHeight="1" x14ac:dyDescent="0.35">
      <c r="A189" s="154"/>
      <c r="B189" s="154" t="s">
        <v>10</v>
      </c>
      <c r="C189" s="276">
        <v>9</v>
      </c>
      <c r="D189" s="20">
        <f t="shared" si="446"/>
        <v>0.75</v>
      </c>
      <c r="E189" s="20">
        <f t="shared" si="447"/>
        <v>1.125</v>
      </c>
      <c r="F189" s="21"/>
      <c r="G189" s="285">
        <v>6</v>
      </c>
      <c r="H189" s="20">
        <f t="shared" si="448"/>
        <v>0.5</v>
      </c>
      <c r="I189" s="20">
        <f t="shared" si="449"/>
        <v>0.75</v>
      </c>
      <c r="J189" s="21"/>
      <c r="K189" s="82">
        <v>0</v>
      </c>
      <c r="L189" s="20">
        <f t="shared" si="450"/>
        <v>0</v>
      </c>
      <c r="M189" s="20">
        <f t="shared" si="451"/>
        <v>0</v>
      </c>
      <c r="N189" s="21"/>
      <c r="O189" s="22">
        <f t="shared" si="435"/>
        <v>15</v>
      </c>
      <c r="P189" s="22">
        <f t="shared" si="452"/>
        <v>0.63</v>
      </c>
      <c r="Q189" s="22">
        <f t="shared" si="453"/>
        <v>0.94500000000000006</v>
      </c>
      <c r="R189" s="23"/>
    </row>
    <row r="190" spans="1:24" ht="18.75" customHeight="1" x14ac:dyDescent="0.35">
      <c r="A190" s="145" t="s">
        <v>67</v>
      </c>
      <c r="B190" s="145" t="s">
        <v>8</v>
      </c>
      <c r="C190" s="271">
        <v>1660</v>
      </c>
      <c r="D190" s="20">
        <f>ROUND(C190/18,2)</f>
        <v>92.22</v>
      </c>
      <c r="E190" s="20"/>
      <c r="F190" s="21">
        <f>SUM(D190,E191:E193)</f>
        <v>101.34</v>
      </c>
      <c r="G190" s="285">
        <v>616</v>
      </c>
      <c r="H190" s="20">
        <f>ROUND(G190/18,2)</f>
        <v>34.22</v>
      </c>
      <c r="I190" s="20"/>
      <c r="J190" s="21">
        <f>SUM(H190,I191:I193)</f>
        <v>36.844999999999999</v>
      </c>
      <c r="K190" s="82">
        <v>280</v>
      </c>
      <c r="L190" s="20">
        <f>ROUND(K190/18,2)</f>
        <v>15.56</v>
      </c>
      <c r="M190" s="20"/>
      <c r="N190" s="21">
        <f>SUM(L190,M191:M193)</f>
        <v>15.56</v>
      </c>
      <c r="O190" s="22">
        <f t="shared" si="435"/>
        <v>2556</v>
      </c>
      <c r="P190" s="22">
        <f>ROUND(O190/36,2)</f>
        <v>71</v>
      </c>
      <c r="Q190" s="22"/>
      <c r="R190" s="23">
        <f>SUM(P190,Q191:Q193)</f>
        <v>76.88</v>
      </c>
      <c r="V190" s="69"/>
    </row>
    <row r="191" spans="1:24" ht="18.75" customHeight="1" x14ac:dyDescent="0.35">
      <c r="A191" s="145"/>
      <c r="B191" s="145" t="s">
        <v>64</v>
      </c>
      <c r="C191" s="271">
        <v>0</v>
      </c>
      <c r="D191" s="20">
        <f t="shared" ref="D191:D193" si="454">ROUND(C191/12,2)</f>
        <v>0</v>
      </c>
      <c r="E191" s="20">
        <f t="shared" ref="E191:E193" si="455">D191*1.5</f>
        <v>0</v>
      </c>
      <c r="F191" s="21"/>
      <c r="G191" s="285">
        <v>0</v>
      </c>
      <c r="H191" s="20">
        <f t="shared" ref="H191:H193" si="456">ROUND(G191/12,2)</f>
        <v>0</v>
      </c>
      <c r="I191" s="20">
        <f t="shared" ref="I191:I193" si="457">H191*1.5</f>
        <v>0</v>
      </c>
      <c r="J191" s="21"/>
      <c r="K191" s="82">
        <v>0</v>
      </c>
      <c r="L191" s="20">
        <f t="shared" ref="L191:L193" si="458">ROUND(K191/12,2)</f>
        <v>0</v>
      </c>
      <c r="M191" s="20">
        <f t="shared" ref="M191:M193" si="459">L191*1.5</f>
        <v>0</v>
      </c>
      <c r="N191" s="21"/>
      <c r="O191" s="22">
        <f t="shared" si="435"/>
        <v>0</v>
      </c>
      <c r="P191" s="22">
        <f t="shared" ref="P191:P193" si="460">ROUND(O191/24,2)</f>
        <v>0</v>
      </c>
      <c r="Q191" s="22">
        <f t="shared" ref="Q191:Q193" si="461">P191*1.5</f>
        <v>0</v>
      </c>
      <c r="R191" s="23"/>
    </row>
    <row r="192" spans="1:24" ht="18.75" customHeight="1" x14ac:dyDescent="0.35">
      <c r="A192" s="145"/>
      <c r="B192" s="145" t="s">
        <v>9</v>
      </c>
      <c r="C192" s="271">
        <v>73</v>
      </c>
      <c r="D192" s="20">
        <f t="shared" si="454"/>
        <v>6.08</v>
      </c>
      <c r="E192" s="20">
        <f t="shared" si="455"/>
        <v>9.120000000000001</v>
      </c>
      <c r="F192" s="21"/>
      <c r="G192" s="285">
        <v>21</v>
      </c>
      <c r="H192" s="20">
        <f t="shared" si="456"/>
        <v>1.75</v>
      </c>
      <c r="I192" s="20">
        <f t="shared" si="457"/>
        <v>2.625</v>
      </c>
      <c r="J192" s="21"/>
      <c r="K192" s="82">
        <v>0</v>
      </c>
      <c r="L192" s="20">
        <f t="shared" si="458"/>
        <v>0</v>
      </c>
      <c r="M192" s="20">
        <f t="shared" si="459"/>
        <v>0</v>
      </c>
      <c r="N192" s="21"/>
      <c r="O192" s="22">
        <f t="shared" si="435"/>
        <v>94</v>
      </c>
      <c r="P192" s="22">
        <f t="shared" si="460"/>
        <v>3.92</v>
      </c>
      <c r="Q192" s="22">
        <f t="shared" si="461"/>
        <v>5.88</v>
      </c>
      <c r="R192" s="23"/>
      <c r="V192" s="69"/>
    </row>
    <row r="193" spans="1:22" ht="18.75" customHeight="1" x14ac:dyDescent="0.35">
      <c r="A193" s="145"/>
      <c r="B193" s="145" t="s">
        <v>10</v>
      </c>
      <c r="C193" s="271">
        <v>0</v>
      </c>
      <c r="D193" s="20">
        <f t="shared" si="454"/>
        <v>0</v>
      </c>
      <c r="E193" s="20">
        <f t="shared" si="455"/>
        <v>0</v>
      </c>
      <c r="F193" s="21"/>
      <c r="G193" s="285">
        <v>0</v>
      </c>
      <c r="H193" s="20">
        <f t="shared" si="456"/>
        <v>0</v>
      </c>
      <c r="I193" s="20">
        <f t="shared" si="457"/>
        <v>0</v>
      </c>
      <c r="J193" s="21"/>
      <c r="K193" s="82">
        <v>0</v>
      </c>
      <c r="L193" s="20">
        <f t="shared" si="458"/>
        <v>0</v>
      </c>
      <c r="M193" s="20">
        <f t="shared" si="459"/>
        <v>0</v>
      </c>
      <c r="N193" s="21"/>
      <c r="O193" s="22">
        <f t="shared" si="435"/>
        <v>0</v>
      </c>
      <c r="P193" s="22">
        <f t="shared" si="460"/>
        <v>0</v>
      </c>
      <c r="Q193" s="22">
        <f t="shared" si="461"/>
        <v>0</v>
      </c>
      <c r="R193" s="23"/>
    </row>
    <row r="194" spans="1:22" ht="18.75" customHeight="1" x14ac:dyDescent="0.35">
      <c r="A194" s="145" t="s">
        <v>68</v>
      </c>
      <c r="B194" s="145" t="s">
        <v>8</v>
      </c>
      <c r="C194" s="271">
        <v>1131</v>
      </c>
      <c r="D194" s="20">
        <f>ROUND(C194/18,2)</f>
        <v>62.83</v>
      </c>
      <c r="E194" s="20"/>
      <c r="F194" s="21">
        <f>SUM(D194,E195:E197)</f>
        <v>64.704999999999998</v>
      </c>
      <c r="G194" s="285">
        <v>1809</v>
      </c>
      <c r="H194" s="20">
        <f>ROUND(G194/18,2)</f>
        <v>100.5</v>
      </c>
      <c r="I194" s="20"/>
      <c r="J194" s="21">
        <f>SUM(H194,I195:I197)</f>
        <v>105.75</v>
      </c>
      <c r="K194" s="82">
        <v>933</v>
      </c>
      <c r="L194" s="20">
        <f>ROUND(K194/18,2)</f>
        <v>51.83</v>
      </c>
      <c r="M194" s="20"/>
      <c r="N194" s="21">
        <f>SUM(L194,M195:M197)</f>
        <v>55.204999999999998</v>
      </c>
      <c r="O194" s="22">
        <f t="shared" si="435"/>
        <v>3873</v>
      </c>
      <c r="P194" s="22">
        <f>ROUND(O194/36,2)</f>
        <v>107.58</v>
      </c>
      <c r="Q194" s="22"/>
      <c r="R194" s="23">
        <f>SUM(P194,Q195:Q197)</f>
        <v>112.83</v>
      </c>
    </row>
    <row r="195" spans="1:22" ht="18.75" customHeight="1" x14ac:dyDescent="0.35">
      <c r="A195" s="145"/>
      <c r="B195" s="145" t="s">
        <v>64</v>
      </c>
      <c r="C195" s="271">
        <v>0</v>
      </c>
      <c r="D195" s="20">
        <f t="shared" ref="D195:D197" si="462">ROUND(C195/12,2)</f>
        <v>0</v>
      </c>
      <c r="E195" s="20">
        <f t="shared" ref="E195:E197" si="463">D195*1.5</f>
        <v>0</v>
      </c>
      <c r="F195" s="21"/>
      <c r="G195" s="285">
        <v>0</v>
      </c>
      <c r="H195" s="20">
        <f t="shared" ref="H195:H197" si="464">ROUND(G195/12,2)</f>
        <v>0</v>
      </c>
      <c r="I195" s="20">
        <f t="shared" ref="I195:I197" si="465">H195*1.5</f>
        <v>0</v>
      </c>
      <c r="J195" s="21"/>
      <c r="K195" s="82">
        <v>0</v>
      </c>
      <c r="L195" s="20">
        <f t="shared" ref="L195:L197" si="466">ROUND(K195/12,2)</f>
        <v>0</v>
      </c>
      <c r="M195" s="20">
        <f t="shared" ref="M195:M197" si="467">L195*1.5</f>
        <v>0</v>
      </c>
      <c r="N195" s="21"/>
      <c r="O195" s="22">
        <f t="shared" si="435"/>
        <v>0</v>
      </c>
      <c r="P195" s="22">
        <f t="shared" ref="P195:P197" si="468">ROUND(O195/24,2)</f>
        <v>0</v>
      </c>
      <c r="Q195" s="22">
        <f t="shared" ref="Q195:Q197" si="469">P195*1.5</f>
        <v>0</v>
      </c>
      <c r="R195" s="23"/>
    </row>
    <row r="196" spans="1:22" ht="18.75" customHeight="1" x14ac:dyDescent="0.35">
      <c r="A196" s="145"/>
      <c r="B196" s="145" t="s">
        <v>9</v>
      </c>
      <c r="C196" s="271">
        <v>15</v>
      </c>
      <c r="D196" s="20">
        <f t="shared" si="462"/>
        <v>1.25</v>
      </c>
      <c r="E196" s="20">
        <f t="shared" si="463"/>
        <v>1.875</v>
      </c>
      <c r="F196" s="21"/>
      <c r="G196" s="285">
        <v>42</v>
      </c>
      <c r="H196" s="20">
        <f t="shared" si="464"/>
        <v>3.5</v>
      </c>
      <c r="I196" s="20">
        <f t="shared" si="465"/>
        <v>5.25</v>
      </c>
      <c r="J196" s="21"/>
      <c r="K196" s="82">
        <v>27</v>
      </c>
      <c r="L196" s="20">
        <f t="shared" si="466"/>
        <v>2.25</v>
      </c>
      <c r="M196" s="20">
        <f t="shared" si="467"/>
        <v>3.375</v>
      </c>
      <c r="N196" s="21"/>
      <c r="O196" s="22">
        <f t="shared" si="435"/>
        <v>84</v>
      </c>
      <c r="P196" s="22">
        <f t="shared" si="468"/>
        <v>3.5</v>
      </c>
      <c r="Q196" s="22">
        <f t="shared" si="469"/>
        <v>5.25</v>
      </c>
      <c r="R196" s="23"/>
      <c r="V196" s="68"/>
    </row>
    <row r="197" spans="1:22" ht="18.75" customHeight="1" x14ac:dyDescent="0.35">
      <c r="A197" s="145"/>
      <c r="B197" s="145" t="s">
        <v>10</v>
      </c>
      <c r="C197" s="271">
        <v>0</v>
      </c>
      <c r="D197" s="20">
        <f t="shared" si="462"/>
        <v>0</v>
      </c>
      <c r="E197" s="20">
        <f t="shared" si="463"/>
        <v>0</v>
      </c>
      <c r="F197" s="21"/>
      <c r="G197" s="285">
        <v>0</v>
      </c>
      <c r="H197" s="20">
        <f t="shared" si="464"/>
        <v>0</v>
      </c>
      <c r="I197" s="20">
        <f t="shared" si="465"/>
        <v>0</v>
      </c>
      <c r="J197" s="21"/>
      <c r="K197" s="82">
        <v>0</v>
      </c>
      <c r="L197" s="20">
        <f t="shared" si="466"/>
        <v>0</v>
      </c>
      <c r="M197" s="20">
        <f t="shared" si="467"/>
        <v>0</v>
      </c>
      <c r="N197" s="21"/>
      <c r="O197" s="22">
        <f t="shared" si="435"/>
        <v>0</v>
      </c>
      <c r="P197" s="22">
        <f t="shared" si="468"/>
        <v>0</v>
      </c>
      <c r="Q197" s="22">
        <f t="shared" si="469"/>
        <v>0</v>
      </c>
      <c r="R197" s="23"/>
      <c r="V197" s="68"/>
    </row>
    <row r="198" spans="1:22" ht="18.75" customHeight="1" x14ac:dyDescent="0.35">
      <c r="A198" s="153" t="s">
        <v>69</v>
      </c>
      <c r="B198" s="153" t="s">
        <v>8</v>
      </c>
      <c r="C198" s="275">
        <v>0</v>
      </c>
      <c r="D198" s="20">
        <f>ROUND(C198/18,2)</f>
        <v>0</v>
      </c>
      <c r="E198" s="20"/>
      <c r="F198" s="21">
        <f>SUM(D198,E199:E201)</f>
        <v>3.75</v>
      </c>
      <c r="G198" s="285">
        <v>0</v>
      </c>
      <c r="H198" s="20">
        <f>ROUND(G198/18,2)</f>
        <v>0</v>
      </c>
      <c r="I198" s="20"/>
      <c r="J198" s="21">
        <f>SUM(H198,I199:I201)</f>
        <v>3.75</v>
      </c>
      <c r="K198" s="82">
        <v>0</v>
      </c>
      <c r="L198" s="20">
        <f>ROUND(K198/18,2)</f>
        <v>0</v>
      </c>
      <c r="M198" s="20"/>
      <c r="N198" s="21">
        <f>SUM(L198,M199:M201)</f>
        <v>0</v>
      </c>
      <c r="O198" s="22">
        <f t="shared" si="435"/>
        <v>0</v>
      </c>
      <c r="P198" s="22">
        <f>ROUND(O198/36,2)</f>
        <v>0</v>
      </c>
      <c r="Q198" s="22"/>
      <c r="R198" s="23">
        <f>SUM(P198,Q199:Q201)</f>
        <v>3.75</v>
      </c>
    </row>
    <row r="199" spans="1:22" ht="18.75" customHeight="1" x14ac:dyDescent="0.35">
      <c r="A199" s="145"/>
      <c r="B199" s="145" t="s">
        <v>64</v>
      </c>
      <c r="C199" s="271">
        <v>0</v>
      </c>
      <c r="D199" s="20">
        <f t="shared" ref="D199:D201" si="470">ROUND(C199/12,2)</f>
        <v>0</v>
      </c>
      <c r="E199" s="20">
        <f t="shared" ref="E199:E201" si="471">D199*1.5</f>
        <v>0</v>
      </c>
      <c r="F199" s="21"/>
      <c r="G199" s="285">
        <v>0</v>
      </c>
      <c r="H199" s="20">
        <f t="shared" ref="H199" si="472">ROUND(G199/12,2)</f>
        <v>0</v>
      </c>
      <c r="I199" s="20"/>
      <c r="J199" s="21"/>
      <c r="K199" s="82">
        <v>0</v>
      </c>
      <c r="L199" s="20">
        <f t="shared" ref="L199:L201" si="473">ROUND(K199/12,2)</f>
        <v>0</v>
      </c>
      <c r="M199" s="20">
        <f t="shared" ref="M199:M201" si="474">L199*1.5</f>
        <v>0</v>
      </c>
      <c r="N199" s="21"/>
      <c r="O199" s="22">
        <f t="shared" si="435"/>
        <v>0</v>
      </c>
      <c r="P199" s="22">
        <f t="shared" ref="P199:P201" si="475">ROUND(O199/24,2)</f>
        <v>0</v>
      </c>
      <c r="Q199" s="22">
        <f t="shared" ref="Q199:Q201" si="476">P199*1.5</f>
        <v>0</v>
      </c>
      <c r="R199" s="23"/>
    </row>
    <row r="200" spans="1:22" ht="18.75" customHeight="1" x14ac:dyDescent="0.35">
      <c r="A200" s="145"/>
      <c r="B200" s="145" t="s">
        <v>9</v>
      </c>
      <c r="C200" s="271">
        <v>30</v>
      </c>
      <c r="D200" s="20">
        <f t="shared" si="470"/>
        <v>2.5</v>
      </c>
      <c r="E200" s="20">
        <f t="shared" si="471"/>
        <v>3.75</v>
      </c>
      <c r="F200" s="21"/>
      <c r="G200" s="285">
        <v>30</v>
      </c>
      <c r="H200" s="20">
        <f t="shared" ref="H200" si="477">ROUND(G200/12,2)</f>
        <v>2.5</v>
      </c>
      <c r="I200" s="20">
        <f t="shared" ref="I200" si="478">H200*1.5</f>
        <v>3.75</v>
      </c>
      <c r="J200" s="21"/>
      <c r="K200" s="82">
        <v>0</v>
      </c>
      <c r="L200" s="20">
        <f t="shared" si="473"/>
        <v>0</v>
      </c>
      <c r="M200" s="20">
        <f t="shared" si="474"/>
        <v>0</v>
      </c>
      <c r="N200" s="21"/>
      <c r="O200" s="22">
        <f t="shared" si="435"/>
        <v>60</v>
      </c>
      <c r="P200" s="22">
        <f t="shared" si="475"/>
        <v>2.5</v>
      </c>
      <c r="Q200" s="22">
        <f t="shared" si="476"/>
        <v>3.75</v>
      </c>
      <c r="R200" s="23"/>
      <c r="V200" s="68"/>
    </row>
    <row r="201" spans="1:22" ht="18.75" customHeight="1" x14ac:dyDescent="0.35">
      <c r="A201" s="154"/>
      <c r="B201" s="154" t="s">
        <v>10</v>
      </c>
      <c r="C201" s="276">
        <v>0</v>
      </c>
      <c r="D201" s="20">
        <f t="shared" si="470"/>
        <v>0</v>
      </c>
      <c r="E201" s="20">
        <f t="shared" si="471"/>
        <v>0</v>
      </c>
      <c r="F201" s="21"/>
      <c r="G201" s="285">
        <v>0</v>
      </c>
      <c r="H201" s="20">
        <f t="shared" ref="H201" si="479">ROUND(G201/12,2)</f>
        <v>0</v>
      </c>
      <c r="I201" s="20">
        <f t="shared" ref="I201" si="480">H201*1.5</f>
        <v>0</v>
      </c>
      <c r="J201" s="21"/>
      <c r="K201" s="82">
        <v>0</v>
      </c>
      <c r="L201" s="20">
        <f t="shared" si="473"/>
        <v>0</v>
      </c>
      <c r="M201" s="20">
        <f t="shared" si="474"/>
        <v>0</v>
      </c>
      <c r="N201" s="21"/>
      <c r="O201" s="22">
        <f t="shared" si="435"/>
        <v>0</v>
      </c>
      <c r="P201" s="22">
        <f t="shared" si="475"/>
        <v>0</v>
      </c>
      <c r="Q201" s="22">
        <f t="shared" si="476"/>
        <v>0</v>
      </c>
      <c r="R201" s="23"/>
    </row>
    <row r="202" spans="1:22" ht="18.75" customHeight="1" x14ac:dyDescent="0.35">
      <c r="A202" s="145" t="s">
        <v>70</v>
      </c>
      <c r="B202" s="145" t="s">
        <v>8</v>
      </c>
      <c r="C202" s="271">
        <v>118</v>
      </c>
      <c r="D202" s="20">
        <f>ROUND(C202/18,2)</f>
        <v>6.56</v>
      </c>
      <c r="E202" s="20"/>
      <c r="F202" s="21">
        <f>SUM(D202,E203:E205)</f>
        <v>105.185</v>
      </c>
      <c r="G202" s="285">
        <v>390</v>
      </c>
      <c r="H202" s="20">
        <f>ROUND(G202/18,2)</f>
        <v>21.67</v>
      </c>
      <c r="I202" s="20"/>
      <c r="J202" s="21">
        <f>SUM(H202,I203:I205)</f>
        <v>101.66500000000001</v>
      </c>
      <c r="K202" s="82">
        <v>0</v>
      </c>
      <c r="L202" s="20">
        <f>ROUND(K202/18,2)</f>
        <v>0</v>
      </c>
      <c r="M202" s="20"/>
      <c r="N202" s="21">
        <f>SUM(L202,M203:M205)</f>
        <v>5.25</v>
      </c>
      <c r="O202" s="22">
        <f t="shared" si="435"/>
        <v>508</v>
      </c>
      <c r="P202" s="22">
        <f>ROUND(O202/36,2)</f>
        <v>14.11</v>
      </c>
      <c r="Q202" s="22"/>
      <c r="R202" s="23">
        <f>SUM(P202,Q203:Q205)</f>
        <v>106.045</v>
      </c>
    </row>
    <row r="203" spans="1:22" ht="18.75" customHeight="1" x14ac:dyDescent="0.35">
      <c r="A203" s="145"/>
      <c r="B203" s="145" t="s">
        <v>64</v>
      </c>
      <c r="C203" s="271">
        <v>0</v>
      </c>
      <c r="D203" s="20">
        <f t="shared" ref="D203:D205" si="481">ROUND(C203/12,2)</f>
        <v>0</v>
      </c>
      <c r="E203" s="20">
        <f t="shared" ref="E203:E205" si="482">D203*1.5</f>
        <v>0</v>
      </c>
      <c r="F203" s="21"/>
      <c r="G203" s="285">
        <v>0</v>
      </c>
      <c r="H203" s="20">
        <f t="shared" ref="H203:H205" si="483">ROUND(G203/12,2)</f>
        <v>0</v>
      </c>
      <c r="I203" s="20">
        <f t="shared" ref="I203:I205" si="484">H203*1.5</f>
        <v>0</v>
      </c>
      <c r="J203" s="21"/>
      <c r="K203" s="82">
        <v>0</v>
      </c>
      <c r="L203" s="20">
        <f t="shared" ref="L203:L205" si="485">ROUND(K203/12,2)</f>
        <v>0</v>
      </c>
      <c r="M203" s="20">
        <f t="shared" ref="M203:M205" si="486">L203*1.5</f>
        <v>0</v>
      </c>
      <c r="N203" s="21"/>
      <c r="O203" s="22">
        <f t="shared" si="435"/>
        <v>0</v>
      </c>
      <c r="P203" s="22">
        <f t="shared" ref="P203:P205" si="487">ROUND(O203/24,2)</f>
        <v>0</v>
      </c>
      <c r="Q203" s="22">
        <f t="shared" ref="Q203:Q205" si="488">P203*1.5</f>
        <v>0</v>
      </c>
      <c r="R203" s="23"/>
    </row>
    <row r="204" spans="1:22" ht="18.75" customHeight="1" x14ac:dyDescent="0.35">
      <c r="A204" s="145"/>
      <c r="B204" s="145" t="s">
        <v>9</v>
      </c>
      <c r="C204" s="271">
        <v>789</v>
      </c>
      <c r="D204" s="20">
        <f t="shared" si="481"/>
        <v>65.75</v>
      </c>
      <c r="E204" s="20">
        <f t="shared" si="482"/>
        <v>98.625</v>
      </c>
      <c r="F204" s="21"/>
      <c r="G204" s="285">
        <v>640</v>
      </c>
      <c r="H204" s="20">
        <f t="shared" si="483"/>
        <v>53.33</v>
      </c>
      <c r="I204" s="20">
        <f t="shared" si="484"/>
        <v>79.995000000000005</v>
      </c>
      <c r="J204" s="21"/>
      <c r="K204" s="82">
        <v>42</v>
      </c>
      <c r="L204" s="20">
        <f t="shared" si="485"/>
        <v>3.5</v>
      </c>
      <c r="M204" s="20">
        <f t="shared" si="486"/>
        <v>5.25</v>
      </c>
      <c r="N204" s="21"/>
      <c r="O204" s="22">
        <f t="shared" si="435"/>
        <v>1471</v>
      </c>
      <c r="P204" s="22">
        <f t="shared" si="487"/>
        <v>61.29</v>
      </c>
      <c r="Q204" s="22">
        <f t="shared" si="488"/>
        <v>91.935000000000002</v>
      </c>
      <c r="R204" s="23"/>
      <c r="V204" s="68"/>
    </row>
    <row r="205" spans="1:22" ht="18.75" customHeight="1" x14ac:dyDescent="0.35">
      <c r="A205" s="145"/>
      <c r="B205" s="145" t="s">
        <v>10</v>
      </c>
      <c r="C205" s="271">
        <v>0</v>
      </c>
      <c r="D205" s="20">
        <f t="shared" si="481"/>
        <v>0</v>
      </c>
      <c r="E205" s="20">
        <f t="shared" si="482"/>
        <v>0</v>
      </c>
      <c r="F205" s="21"/>
      <c r="G205" s="285">
        <v>0</v>
      </c>
      <c r="H205" s="20">
        <f t="shared" si="483"/>
        <v>0</v>
      </c>
      <c r="I205" s="20">
        <f t="shared" si="484"/>
        <v>0</v>
      </c>
      <c r="J205" s="21"/>
      <c r="K205" s="82">
        <v>0</v>
      </c>
      <c r="L205" s="20">
        <f t="shared" si="485"/>
        <v>0</v>
      </c>
      <c r="M205" s="20">
        <f t="shared" si="486"/>
        <v>0</v>
      </c>
      <c r="N205" s="21"/>
      <c r="O205" s="22">
        <f t="shared" si="435"/>
        <v>0</v>
      </c>
      <c r="P205" s="22">
        <f t="shared" si="487"/>
        <v>0</v>
      </c>
      <c r="Q205" s="22">
        <f t="shared" si="488"/>
        <v>0</v>
      </c>
      <c r="R205" s="23"/>
    </row>
    <row r="206" spans="1:22" ht="18.75" customHeight="1" x14ac:dyDescent="0.35">
      <c r="A206" s="177" t="s">
        <v>22</v>
      </c>
      <c r="B206" s="151" t="s">
        <v>8</v>
      </c>
      <c r="C206" s="95">
        <f>SUMIF($B$177:$B$205,"ปริญญาตรี",C177:C205)</f>
        <v>5893</v>
      </c>
      <c r="D206" s="32">
        <f>ROUND(C206/18,2)</f>
        <v>327.39</v>
      </c>
      <c r="E206" s="32"/>
      <c r="F206" s="33">
        <f>SUM(D206,E207:E209)</f>
        <v>777.27</v>
      </c>
      <c r="G206" s="95">
        <f>SUMIF($B$177:$B$205,"ปริญญาตรี",G177:G205)</f>
        <v>3333</v>
      </c>
      <c r="H206" s="32">
        <f>ROUND(G206/18,2)</f>
        <v>185.17</v>
      </c>
      <c r="I206" s="32"/>
      <c r="J206" s="33">
        <f>SUM(H206,I207:I209)</f>
        <v>685.79499999999996</v>
      </c>
      <c r="K206" s="95">
        <f>SUMIF($B$177:$B$205,"ปริญญาตรี",K177:K205)</f>
        <v>1213</v>
      </c>
      <c r="L206" s="32">
        <f>ROUND(K206/18,2)</f>
        <v>67.39</v>
      </c>
      <c r="M206" s="32"/>
      <c r="N206" s="33">
        <f>SUM(L206,M207:M209)</f>
        <v>219.14500000000001</v>
      </c>
      <c r="O206" s="22">
        <f t="shared" si="435"/>
        <v>10439</v>
      </c>
      <c r="P206" s="34">
        <f>ROUND(O206/36,2)</f>
        <v>289.97000000000003</v>
      </c>
      <c r="Q206" s="34"/>
      <c r="R206" s="23">
        <f>SUM(P206,Q207:Q209)</f>
        <v>841.1</v>
      </c>
    </row>
    <row r="207" spans="1:22" ht="18.75" customHeight="1" x14ac:dyDescent="0.35">
      <c r="A207" s="174" t="s">
        <v>22</v>
      </c>
      <c r="B207" s="151" t="s">
        <v>64</v>
      </c>
      <c r="C207" s="95">
        <f>SUMIF($B$177:$B$205,"ป.บัณฑิต",C177:C205)</f>
        <v>0</v>
      </c>
      <c r="D207" s="32">
        <f>ROUND(C207/12,2)</f>
        <v>0</v>
      </c>
      <c r="E207" s="32">
        <f t="shared" ref="E207:E209" si="489">D207*1.5</f>
        <v>0</v>
      </c>
      <c r="F207" s="33"/>
      <c r="G207" s="95">
        <f>SUMIF($B$177:$B$205,"ป.บัณฑิต",G177:G205)</f>
        <v>672</v>
      </c>
      <c r="H207" s="32">
        <f>ROUND(G207/12,2)</f>
        <v>56</v>
      </c>
      <c r="I207" s="32">
        <f t="shared" ref="I207:I209" si="490">H207*1.5</f>
        <v>84</v>
      </c>
      <c r="J207" s="33"/>
      <c r="K207" s="95">
        <f>SUMIF($B$177:$B$205,"ป.บัณฑิต",K177:K205)</f>
        <v>416</v>
      </c>
      <c r="L207" s="32">
        <f>ROUND(K207/12,2)</f>
        <v>34.67</v>
      </c>
      <c r="M207" s="32">
        <f t="shared" ref="M207:M209" si="491">L207*1.5</f>
        <v>52.005000000000003</v>
      </c>
      <c r="N207" s="33"/>
      <c r="O207" s="22">
        <f t="shared" si="435"/>
        <v>1088</v>
      </c>
      <c r="P207" s="34">
        <f t="shared" ref="P207:P209" si="492">ROUND(O207/24,2)</f>
        <v>45.33</v>
      </c>
      <c r="Q207" s="34">
        <f t="shared" ref="Q207:Q209" si="493">P207*1.5</f>
        <v>67.995000000000005</v>
      </c>
      <c r="R207" s="23"/>
    </row>
    <row r="208" spans="1:22" ht="18.75" customHeight="1" x14ac:dyDescent="0.35">
      <c r="A208" s="174" t="s">
        <v>22</v>
      </c>
      <c r="B208" s="151" t="s">
        <v>9</v>
      </c>
      <c r="C208" s="93">
        <f>SUMIF($B$177:$B$205,"ปริญญาโท",C177:C205)</f>
        <v>3590</v>
      </c>
      <c r="D208" s="32">
        <f t="shared" ref="D208:D209" si="494">ROUND(C208/12,2)</f>
        <v>299.17</v>
      </c>
      <c r="E208" s="32">
        <f t="shared" si="489"/>
        <v>448.755</v>
      </c>
      <c r="F208" s="33"/>
      <c r="G208" s="93">
        <f>SUMIF($B$177:$B$205,"ปริญญาโท",G177:G205)</f>
        <v>3327</v>
      </c>
      <c r="H208" s="32">
        <f t="shared" ref="H208:H209" si="495">ROUND(G208/12,2)</f>
        <v>277.25</v>
      </c>
      <c r="I208" s="32">
        <f t="shared" si="490"/>
        <v>415.875</v>
      </c>
      <c r="J208" s="33"/>
      <c r="K208" s="93">
        <f>SUMIF($B$177:$B$205,"ปริญญาโท",K177:K205)</f>
        <v>798</v>
      </c>
      <c r="L208" s="32">
        <f t="shared" ref="L208:L209" si="496">ROUND(K208/12,2)</f>
        <v>66.5</v>
      </c>
      <c r="M208" s="32">
        <f t="shared" si="491"/>
        <v>99.75</v>
      </c>
      <c r="N208" s="33"/>
      <c r="O208" s="22">
        <f t="shared" si="435"/>
        <v>7715</v>
      </c>
      <c r="P208" s="34">
        <f t="shared" si="492"/>
        <v>321.45999999999998</v>
      </c>
      <c r="Q208" s="34">
        <f t="shared" si="493"/>
        <v>482.18999999999994</v>
      </c>
      <c r="R208" s="23"/>
    </row>
    <row r="209" spans="1:18" ht="18.75" customHeight="1" thickBot="1" x14ac:dyDescent="0.4">
      <c r="A209" s="175" t="s">
        <v>22</v>
      </c>
      <c r="B209" s="152" t="s">
        <v>10</v>
      </c>
      <c r="C209" s="94">
        <f>SUMIF($B$177:$B$205,"ปริญญาเอก",C177:C205)</f>
        <v>9</v>
      </c>
      <c r="D209" s="35">
        <f t="shared" si="494"/>
        <v>0.75</v>
      </c>
      <c r="E209" s="35">
        <f t="shared" si="489"/>
        <v>1.125</v>
      </c>
      <c r="F209" s="36"/>
      <c r="G209" s="94">
        <f>SUMIF($B$177:$B$205,"ปริญญาเอก",G177:G205)</f>
        <v>6</v>
      </c>
      <c r="H209" s="35">
        <f t="shared" si="495"/>
        <v>0.5</v>
      </c>
      <c r="I209" s="35">
        <f t="shared" si="490"/>
        <v>0.75</v>
      </c>
      <c r="J209" s="36"/>
      <c r="K209" s="94">
        <f>SUMIF($B$177:$B$205,"ปริญญาเอก",K177:K205)</f>
        <v>0</v>
      </c>
      <c r="L209" s="35">
        <f t="shared" si="496"/>
        <v>0</v>
      </c>
      <c r="M209" s="35">
        <f t="shared" si="491"/>
        <v>0</v>
      </c>
      <c r="N209" s="36"/>
      <c r="O209" s="92">
        <f t="shared" si="435"/>
        <v>15</v>
      </c>
      <c r="P209" s="37">
        <f t="shared" si="492"/>
        <v>0.63</v>
      </c>
      <c r="Q209" s="37">
        <f t="shared" si="493"/>
        <v>0.94500000000000006</v>
      </c>
      <c r="R209" s="27"/>
    </row>
    <row r="210" spans="1:18" ht="18.75" customHeight="1" x14ac:dyDescent="0.35">
      <c r="A210" s="148" t="s">
        <v>71</v>
      </c>
      <c r="B210" s="149"/>
      <c r="C210" s="80"/>
      <c r="D210" s="28"/>
      <c r="E210" s="28"/>
      <c r="F210" s="29"/>
      <c r="G210" s="79"/>
      <c r="H210" s="28"/>
      <c r="I210" s="28"/>
      <c r="J210" s="29"/>
      <c r="K210" s="80"/>
      <c r="L210" s="28"/>
      <c r="M210" s="28"/>
      <c r="N210" s="29"/>
      <c r="O210" s="66"/>
      <c r="P210" s="30"/>
      <c r="Q210" s="30"/>
      <c r="R210" s="31"/>
    </row>
    <row r="211" spans="1:18" ht="18.75" customHeight="1" x14ac:dyDescent="0.35">
      <c r="A211" s="145" t="s">
        <v>7</v>
      </c>
      <c r="B211" s="145" t="s">
        <v>8</v>
      </c>
      <c r="C211" s="271">
        <v>277</v>
      </c>
      <c r="D211" s="20">
        <f>ROUND(C211/18,2)</f>
        <v>15.39</v>
      </c>
      <c r="E211" s="20"/>
      <c r="F211" s="21">
        <f>SUM(D211,E212:E213)</f>
        <v>15.39</v>
      </c>
      <c r="G211" s="81">
        <v>24</v>
      </c>
      <c r="H211" s="20">
        <f>ROUND(G211/18,2)</f>
        <v>1.33</v>
      </c>
      <c r="I211" s="20"/>
      <c r="J211" s="21">
        <f>SUM(H211,I212:I213)</f>
        <v>1.33</v>
      </c>
      <c r="K211" s="140"/>
      <c r="L211" s="20">
        <f>ROUND(K211/18,2)</f>
        <v>0</v>
      </c>
      <c r="M211" s="20"/>
      <c r="N211" s="21">
        <f>SUM(L211,M212:M213)</f>
        <v>0</v>
      </c>
      <c r="O211" s="22">
        <f>SUMIF($C$3:$N$3,"SCH",C211:N211)</f>
        <v>301</v>
      </c>
      <c r="P211" s="22">
        <f>ROUND(O211/36,2)</f>
        <v>8.36</v>
      </c>
      <c r="Q211" s="22"/>
      <c r="R211" s="23">
        <f>SUM(P211,Q212:Q213)</f>
        <v>8.36</v>
      </c>
    </row>
    <row r="212" spans="1:18" ht="18.75" customHeight="1" x14ac:dyDescent="0.35">
      <c r="A212" s="163"/>
      <c r="B212" s="145" t="s">
        <v>9</v>
      </c>
      <c r="C212" s="271"/>
      <c r="D212" s="20">
        <f t="shared" ref="D212:D213" si="497">ROUND(C212/12,2)</f>
        <v>0</v>
      </c>
      <c r="E212" s="20">
        <f t="shared" ref="E212:E213" si="498">D212*1</f>
        <v>0</v>
      </c>
      <c r="F212" s="21"/>
      <c r="G212" s="81"/>
      <c r="H212" s="20">
        <f t="shared" ref="H212:H213" si="499">ROUND(G212/12,2)</f>
        <v>0</v>
      </c>
      <c r="I212" s="20">
        <f t="shared" ref="I212:I213" si="500">H212*1</f>
        <v>0</v>
      </c>
      <c r="J212" s="21"/>
      <c r="K212" s="82"/>
      <c r="L212" s="20">
        <f t="shared" ref="L212:L213" si="501">ROUND(K212/12,2)</f>
        <v>0</v>
      </c>
      <c r="M212" s="20">
        <f t="shared" ref="M212:M213" si="502">L212*1</f>
        <v>0</v>
      </c>
      <c r="N212" s="21"/>
      <c r="O212" s="22">
        <f>SUMIF($C$3:$N$3,"SCH",C212:N212)</f>
        <v>0</v>
      </c>
      <c r="P212" s="22">
        <f t="shared" ref="P212:P213" si="503">ROUND(O212/24,2)</f>
        <v>0</v>
      </c>
      <c r="Q212" s="22">
        <f t="shared" ref="Q212:Q213" si="504">P212*1</f>
        <v>0</v>
      </c>
      <c r="R212" s="23"/>
    </row>
    <row r="213" spans="1:18" ht="18.75" customHeight="1" thickBot="1" x14ac:dyDescent="0.4">
      <c r="A213" s="164"/>
      <c r="B213" s="146" t="s">
        <v>10</v>
      </c>
      <c r="C213" s="272"/>
      <c r="D213" s="24">
        <f t="shared" si="497"/>
        <v>0</v>
      </c>
      <c r="E213" s="24">
        <f t="shared" si="498"/>
        <v>0</v>
      </c>
      <c r="F213" s="25"/>
      <c r="G213" s="83"/>
      <c r="H213" s="24">
        <f t="shared" si="499"/>
        <v>0</v>
      </c>
      <c r="I213" s="24">
        <f t="shared" si="500"/>
        <v>0</v>
      </c>
      <c r="J213" s="25"/>
      <c r="K213" s="84"/>
      <c r="L213" s="24">
        <f t="shared" si="501"/>
        <v>0</v>
      </c>
      <c r="M213" s="24">
        <f t="shared" si="502"/>
        <v>0</v>
      </c>
      <c r="N213" s="25"/>
      <c r="O213" s="92">
        <f>SUMIF($C$3:$N$3,"SCH",C213:N213)</f>
        <v>0</v>
      </c>
      <c r="P213" s="26">
        <f t="shared" si="503"/>
        <v>0</v>
      </c>
      <c r="Q213" s="26">
        <f t="shared" si="504"/>
        <v>0</v>
      </c>
      <c r="R213" s="27"/>
    </row>
    <row r="214" spans="1:18" ht="18.75" customHeight="1" x14ac:dyDescent="0.35">
      <c r="A214" s="148" t="s">
        <v>72</v>
      </c>
      <c r="B214" s="149"/>
      <c r="C214" s="277"/>
      <c r="D214" s="28"/>
      <c r="E214" s="28"/>
      <c r="F214" s="29"/>
      <c r="G214" s="79"/>
      <c r="H214" s="28"/>
      <c r="I214" s="28"/>
      <c r="J214" s="29"/>
      <c r="K214" s="80"/>
      <c r="L214" s="28"/>
      <c r="M214" s="28"/>
      <c r="N214" s="29"/>
      <c r="O214" s="30"/>
      <c r="P214" s="30"/>
      <c r="Q214" s="30"/>
      <c r="R214" s="31"/>
    </row>
    <row r="215" spans="1:18" ht="18.75" customHeight="1" x14ac:dyDescent="0.35">
      <c r="A215" s="145" t="s">
        <v>73</v>
      </c>
      <c r="B215" s="145" t="s">
        <v>8</v>
      </c>
      <c r="C215" s="271"/>
      <c r="D215" s="20">
        <f>ROUND(C215/18,2)</f>
        <v>0</v>
      </c>
      <c r="E215" s="20"/>
      <c r="F215" s="21">
        <f>SUM(D215,E216:E217)</f>
        <v>0</v>
      </c>
      <c r="G215" s="81"/>
      <c r="H215" s="20">
        <f>ROUND(G215/18,2)</f>
        <v>0</v>
      </c>
      <c r="I215" s="20"/>
      <c r="J215" s="21">
        <f>SUM(H215,I216:I217)</f>
        <v>0</v>
      </c>
      <c r="K215" s="82"/>
      <c r="L215" s="20">
        <f>ROUND(K215/18,2)</f>
        <v>0</v>
      </c>
      <c r="M215" s="20"/>
      <c r="N215" s="21">
        <f>SUM(L215,M216:M217)</f>
        <v>0</v>
      </c>
      <c r="O215" s="22">
        <f t="shared" ref="O215:O235" si="505">SUMIF($C$3:$N$3,"SCH",C215:N215)</f>
        <v>0</v>
      </c>
      <c r="P215" s="22">
        <f>ROUND(O215/36,2)</f>
        <v>0</v>
      </c>
      <c r="Q215" s="22"/>
      <c r="R215" s="23">
        <f>SUM(P215,Q216:Q217)</f>
        <v>0</v>
      </c>
    </row>
    <row r="216" spans="1:18" ht="18.75" customHeight="1" x14ac:dyDescent="0.35">
      <c r="A216" s="145"/>
      <c r="B216" s="145" t="s">
        <v>9</v>
      </c>
      <c r="C216" s="271"/>
      <c r="D216" s="20">
        <f t="shared" ref="D216:D217" si="506">ROUND(C216/12,2)</f>
        <v>0</v>
      </c>
      <c r="E216" s="20">
        <f t="shared" ref="E216:E217" si="507">D216*1</f>
        <v>0</v>
      </c>
      <c r="F216" s="21"/>
      <c r="G216" s="81"/>
      <c r="H216" s="20">
        <f t="shared" ref="H216:H217" si="508">ROUND(G216/12,2)</f>
        <v>0</v>
      </c>
      <c r="I216" s="20">
        <f t="shared" ref="I216:I217" si="509">H216*1</f>
        <v>0</v>
      </c>
      <c r="J216" s="21"/>
      <c r="K216" s="82"/>
      <c r="L216" s="20">
        <f t="shared" ref="L216:L217" si="510">ROUND(K216/12,2)</f>
        <v>0</v>
      </c>
      <c r="M216" s="20">
        <f t="shared" ref="M216:M217" si="511">L216*1</f>
        <v>0</v>
      </c>
      <c r="N216" s="21"/>
      <c r="O216" s="22">
        <f t="shared" si="505"/>
        <v>0</v>
      </c>
      <c r="P216" s="22">
        <f t="shared" ref="P216:P217" si="512">ROUND(O216/24,2)</f>
        <v>0</v>
      </c>
      <c r="Q216" s="22">
        <f t="shared" ref="Q216:Q217" si="513">P216*1</f>
        <v>0</v>
      </c>
      <c r="R216" s="23"/>
    </row>
    <row r="217" spans="1:18" ht="18.75" customHeight="1" x14ac:dyDescent="0.35">
      <c r="A217" s="145"/>
      <c r="B217" s="145" t="s">
        <v>10</v>
      </c>
      <c r="C217" s="271"/>
      <c r="D217" s="20">
        <f t="shared" si="506"/>
        <v>0</v>
      </c>
      <c r="E217" s="20">
        <f t="shared" si="507"/>
        <v>0</v>
      </c>
      <c r="F217" s="21"/>
      <c r="G217" s="81"/>
      <c r="H217" s="20">
        <f t="shared" si="508"/>
        <v>0</v>
      </c>
      <c r="I217" s="20">
        <f t="shared" si="509"/>
        <v>0</v>
      </c>
      <c r="J217" s="21"/>
      <c r="K217" s="82"/>
      <c r="L217" s="20">
        <f t="shared" si="510"/>
        <v>0</v>
      </c>
      <c r="M217" s="20">
        <f t="shared" si="511"/>
        <v>0</v>
      </c>
      <c r="N217" s="21"/>
      <c r="O217" s="22">
        <f t="shared" si="505"/>
        <v>0</v>
      </c>
      <c r="P217" s="22">
        <f t="shared" si="512"/>
        <v>0</v>
      </c>
      <c r="Q217" s="22">
        <f t="shared" si="513"/>
        <v>0</v>
      </c>
      <c r="R217" s="23"/>
    </row>
    <row r="218" spans="1:18" ht="18.75" customHeight="1" x14ac:dyDescent="0.35">
      <c r="A218" s="145" t="s">
        <v>74</v>
      </c>
      <c r="B218" s="145" t="s">
        <v>8</v>
      </c>
      <c r="C218" s="271">
        <v>1150</v>
      </c>
      <c r="D218" s="20">
        <f>ROUND(C218/18,2)</f>
        <v>63.89</v>
      </c>
      <c r="E218" s="20"/>
      <c r="F218" s="21">
        <f>SUM(D218,E219:E220)</f>
        <v>94.89</v>
      </c>
      <c r="G218" s="81">
        <v>72</v>
      </c>
      <c r="H218" s="20">
        <f>ROUND(G218/18,2)</f>
        <v>4</v>
      </c>
      <c r="I218" s="20"/>
      <c r="J218" s="21">
        <f>SUM(H218,I219:I220)</f>
        <v>19.5</v>
      </c>
      <c r="K218" s="82"/>
      <c r="L218" s="20">
        <f>ROUND(K218/18,2)</f>
        <v>0</v>
      </c>
      <c r="M218" s="20"/>
      <c r="N218" s="21">
        <f>SUM(L218,M219:M220)</f>
        <v>13.25</v>
      </c>
      <c r="O218" s="22">
        <f t="shared" si="505"/>
        <v>1222</v>
      </c>
      <c r="P218" s="22">
        <f>ROUND(O218/36,2)</f>
        <v>33.94</v>
      </c>
      <c r="Q218" s="22"/>
      <c r="R218" s="23">
        <f>SUM(P218,Q219:Q220)</f>
        <v>63.819999999999993</v>
      </c>
    </row>
    <row r="219" spans="1:18" ht="18.75" customHeight="1" x14ac:dyDescent="0.35">
      <c r="A219" s="145"/>
      <c r="B219" s="145" t="s">
        <v>9</v>
      </c>
      <c r="C219" s="271">
        <v>372</v>
      </c>
      <c r="D219" s="20">
        <f t="shared" ref="D219:D220" si="514">ROUND(C219/12,2)</f>
        <v>31</v>
      </c>
      <c r="E219" s="20">
        <f>D219*1</f>
        <v>31</v>
      </c>
      <c r="F219" s="21"/>
      <c r="G219" s="81">
        <v>186</v>
      </c>
      <c r="H219" s="20">
        <f t="shared" ref="H219:H220" si="515">ROUND(G219/12,2)</f>
        <v>15.5</v>
      </c>
      <c r="I219" s="20">
        <f t="shared" ref="I219:I220" si="516">H219*1</f>
        <v>15.5</v>
      </c>
      <c r="J219" s="21"/>
      <c r="K219" s="82">
        <v>159</v>
      </c>
      <c r="L219" s="20">
        <f t="shared" ref="L219:L220" si="517">ROUND(K219/12,2)</f>
        <v>13.25</v>
      </c>
      <c r="M219" s="20">
        <f>L219*1</f>
        <v>13.25</v>
      </c>
      <c r="N219" s="21"/>
      <c r="O219" s="22">
        <f t="shared" si="505"/>
        <v>717</v>
      </c>
      <c r="P219" s="22">
        <f t="shared" ref="P219:P220" si="518">ROUND(O219/24,2)</f>
        <v>29.88</v>
      </c>
      <c r="Q219" s="22">
        <f t="shared" ref="Q219:Q220" si="519">P219*1</f>
        <v>29.88</v>
      </c>
      <c r="R219" s="23"/>
    </row>
    <row r="220" spans="1:18" ht="18.75" customHeight="1" x14ac:dyDescent="0.35">
      <c r="A220" s="145"/>
      <c r="B220" s="145" t="s">
        <v>10</v>
      </c>
      <c r="C220" s="271"/>
      <c r="D220" s="20">
        <f t="shared" si="514"/>
        <v>0</v>
      </c>
      <c r="E220" s="20">
        <f t="shared" ref="E220" si="520">D220*1</f>
        <v>0</v>
      </c>
      <c r="F220" s="21"/>
      <c r="G220" s="81"/>
      <c r="H220" s="20">
        <f t="shared" si="515"/>
        <v>0</v>
      </c>
      <c r="I220" s="20">
        <f t="shared" si="516"/>
        <v>0</v>
      </c>
      <c r="J220" s="21"/>
      <c r="K220" s="82"/>
      <c r="L220" s="20">
        <f t="shared" si="517"/>
        <v>0</v>
      </c>
      <c r="M220" s="20">
        <f t="shared" ref="M220" si="521">L220*1</f>
        <v>0</v>
      </c>
      <c r="N220" s="21"/>
      <c r="O220" s="22">
        <f t="shared" si="505"/>
        <v>0</v>
      </c>
      <c r="P220" s="22">
        <f t="shared" si="518"/>
        <v>0</v>
      </c>
      <c r="Q220" s="22">
        <f t="shared" si="519"/>
        <v>0</v>
      </c>
      <c r="R220" s="23"/>
    </row>
    <row r="221" spans="1:18" ht="18.75" customHeight="1" x14ac:dyDescent="0.35">
      <c r="A221" s="145" t="s">
        <v>75</v>
      </c>
      <c r="B221" s="145" t="s">
        <v>8</v>
      </c>
      <c r="C221" s="271"/>
      <c r="D221" s="20">
        <f>ROUND(C221/18,2)</f>
        <v>0</v>
      </c>
      <c r="E221" s="20"/>
      <c r="F221" s="21">
        <f>SUM(D221,E222:E223)</f>
        <v>31.17</v>
      </c>
      <c r="G221" s="81"/>
      <c r="H221" s="20">
        <f>ROUND(G221/18,2)</f>
        <v>0</v>
      </c>
      <c r="I221" s="20"/>
      <c r="J221" s="21">
        <f>SUM(H221,I222:I223)</f>
        <v>22.58</v>
      </c>
      <c r="K221" s="82"/>
      <c r="L221" s="20">
        <f>ROUND(K221/18,2)</f>
        <v>0</v>
      </c>
      <c r="M221" s="20"/>
      <c r="N221" s="21">
        <f>SUM(L221,M222:M223)</f>
        <v>3.75</v>
      </c>
      <c r="O221" s="22">
        <f t="shared" si="505"/>
        <v>0</v>
      </c>
      <c r="P221" s="22">
        <f>ROUND(O221/36,2)</f>
        <v>0</v>
      </c>
      <c r="Q221" s="22"/>
      <c r="R221" s="23">
        <f>SUM(P221,Q222:Q223)</f>
        <v>28.75</v>
      </c>
    </row>
    <row r="222" spans="1:18" ht="18.75" customHeight="1" x14ac:dyDescent="0.35">
      <c r="A222" s="145"/>
      <c r="B222" s="145" t="s">
        <v>9</v>
      </c>
      <c r="C222" s="271">
        <v>374</v>
      </c>
      <c r="D222" s="20">
        <f t="shared" ref="D222:D223" si="522">ROUND(C222/12,2)</f>
        <v>31.17</v>
      </c>
      <c r="E222" s="20">
        <f t="shared" ref="E222:E223" si="523">D222*1</f>
        <v>31.17</v>
      </c>
      <c r="F222" s="21"/>
      <c r="G222" s="81">
        <v>271</v>
      </c>
      <c r="H222" s="20">
        <f t="shared" ref="H222:H223" si="524">ROUND(G222/12,2)</f>
        <v>22.58</v>
      </c>
      <c r="I222" s="20">
        <f t="shared" ref="I222:I223" si="525">H222*1</f>
        <v>22.58</v>
      </c>
      <c r="J222" s="21"/>
      <c r="K222" s="82">
        <v>45</v>
      </c>
      <c r="L222" s="20">
        <f t="shared" ref="L222:L223" si="526">ROUND(K222/12,2)</f>
        <v>3.75</v>
      </c>
      <c r="M222" s="20">
        <f t="shared" ref="M222:M223" si="527">L222*1</f>
        <v>3.75</v>
      </c>
      <c r="N222" s="21"/>
      <c r="O222" s="22">
        <f t="shared" si="505"/>
        <v>690</v>
      </c>
      <c r="P222" s="22">
        <f t="shared" ref="P222:P223" si="528">ROUND(O222/24,2)</f>
        <v>28.75</v>
      </c>
      <c r="Q222" s="22">
        <f t="shared" ref="Q222:Q223" si="529">P222*1</f>
        <v>28.75</v>
      </c>
      <c r="R222" s="23"/>
    </row>
    <row r="223" spans="1:18" ht="18.75" customHeight="1" x14ac:dyDescent="0.35">
      <c r="A223" s="145"/>
      <c r="B223" s="145" t="s">
        <v>10</v>
      </c>
      <c r="C223" s="271"/>
      <c r="D223" s="20">
        <f t="shared" si="522"/>
        <v>0</v>
      </c>
      <c r="E223" s="20">
        <f t="shared" si="523"/>
        <v>0</v>
      </c>
      <c r="F223" s="21"/>
      <c r="G223" s="81"/>
      <c r="H223" s="20">
        <f t="shared" si="524"/>
        <v>0</v>
      </c>
      <c r="I223" s="20">
        <f t="shared" si="525"/>
        <v>0</v>
      </c>
      <c r="J223" s="21"/>
      <c r="K223" s="82"/>
      <c r="L223" s="20">
        <f t="shared" si="526"/>
        <v>0</v>
      </c>
      <c r="M223" s="20">
        <f t="shared" si="527"/>
        <v>0</v>
      </c>
      <c r="N223" s="21"/>
      <c r="O223" s="22">
        <f t="shared" si="505"/>
        <v>0</v>
      </c>
      <c r="P223" s="22">
        <f t="shared" si="528"/>
        <v>0</v>
      </c>
      <c r="Q223" s="22">
        <f t="shared" si="529"/>
        <v>0</v>
      </c>
      <c r="R223" s="23"/>
    </row>
    <row r="224" spans="1:18" ht="18.75" customHeight="1" x14ac:dyDescent="0.35">
      <c r="A224" s="145" t="s">
        <v>76</v>
      </c>
      <c r="B224" s="145" t="s">
        <v>8</v>
      </c>
      <c r="C224" s="271"/>
      <c r="D224" s="20">
        <f>ROUND(C224/18,2)</f>
        <v>0</v>
      </c>
      <c r="E224" s="20"/>
      <c r="F224" s="21">
        <f>SUM(D224,E225:E226)</f>
        <v>0</v>
      </c>
      <c r="G224" s="81"/>
      <c r="H224" s="20">
        <f>ROUND(G224/18,2)</f>
        <v>0</v>
      </c>
      <c r="I224" s="20"/>
      <c r="J224" s="21">
        <f>SUM(H224,I225:I226)</f>
        <v>0</v>
      </c>
      <c r="K224" s="82"/>
      <c r="L224" s="20">
        <f>ROUND(K224/18,2)</f>
        <v>0</v>
      </c>
      <c r="M224" s="20"/>
      <c r="N224" s="21">
        <f>SUM(L224,M225:M226)</f>
        <v>0</v>
      </c>
      <c r="O224" s="22">
        <f t="shared" si="505"/>
        <v>0</v>
      </c>
      <c r="P224" s="22">
        <f>ROUND(O224/36,2)</f>
        <v>0</v>
      </c>
      <c r="Q224" s="22"/>
      <c r="R224" s="23">
        <f>SUM(P224,Q225:Q226)</f>
        <v>0</v>
      </c>
    </row>
    <row r="225" spans="1:18" ht="18.75" customHeight="1" x14ac:dyDescent="0.35">
      <c r="A225" s="145"/>
      <c r="B225" s="145" t="s">
        <v>9</v>
      </c>
      <c r="C225" s="271"/>
      <c r="D225" s="20">
        <f t="shared" ref="D225:D226" si="530">ROUND(C225/12,2)</f>
        <v>0</v>
      </c>
      <c r="E225" s="20">
        <f t="shared" ref="E225:E226" si="531">D225*1</f>
        <v>0</v>
      </c>
      <c r="F225" s="21"/>
      <c r="G225" s="81"/>
      <c r="H225" s="20">
        <f t="shared" ref="H225:H226" si="532">ROUND(G225/12,2)</f>
        <v>0</v>
      </c>
      <c r="I225" s="20">
        <f t="shared" ref="I225:I226" si="533">H225*1</f>
        <v>0</v>
      </c>
      <c r="J225" s="21"/>
      <c r="K225" s="82"/>
      <c r="L225" s="20">
        <f t="shared" ref="L225:L226" si="534">ROUND(K225/12,2)</f>
        <v>0</v>
      </c>
      <c r="M225" s="20">
        <f t="shared" ref="M225:M226" si="535">L225*1</f>
        <v>0</v>
      </c>
      <c r="N225" s="21"/>
      <c r="O225" s="22">
        <f t="shared" si="505"/>
        <v>0</v>
      </c>
      <c r="P225" s="22">
        <f t="shared" ref="P225:P226" si="536">ROUND(O225/24,2)</f>
        <v>0</v>
      </c>
      <c r="Q225" s="22">
        <f t="shared" ref="Q225:Q226" si="537">P225*1</f>
        <v>0</v>
      </c>
      <c r="R225" s="23"/>
    </row>
    <row r="226" spans="1:18" ht="18.75" customHeight="1" x14ac:dyDescent="0.35">
      <c r="A226" s="145"/>
      <c r="B226" s="145" t="s">
        <v>10</v>
      </c>
      <c r="C226" s="271"/>
      <c r="D226" s="20">
        <f t="shared" si="530"/>
        <v>0</v>
      </c>
      <c r="E226" s="20">
        <f t="shared" si="531"/>
        <v>0</v>
      </c>
      <c r="F226" s="21"/>
      <c r="G226" s="81"/>
      <c r="H226" s="20">
        <f t="shared" si="532"/>
        <v>0</v>
      </c>
      <c r="I226" s="20">
        <f t="shared" si="533"/>
        <v>0</v>
      </c>
      <c r="J226" s="21"/>
      <c r="K226" s="82"/>
      <c r="L226" s="20">
        <f t="shared" si="534"/>
        <v>0</v>
      </c>
      <c r="M226" s="20">
        <f t="shared" si="535"/>
        <v>0</v>
      </c>
      <c r="N226" s="21"/>
      <c r="O226" s="22">
        <f t="shared" si="505"/>
        <v>0</v>
      </c>
      <c r="P226" s="22">
        <f t="shared" si="536"/>
        <v>0</v>
      </c>
      <c r="Q226" s="22">
        <f t="shared" si="537"/>
        <v>0</v>
      </c>
      <c r="R226" s="23"/>
    </row>
    <row r="227" spans="1:18" ht="18.75" customHeight="1" x14ac:dyDescent="0.35">
      <c r="A227" s="145" t="s">
        <v>77</v>
      </c>
      <c r="B227" s="145" t="s">
        <v>8</v>
      </c>
      <c r="C227" s="271"/>
      <c r="D227" s="20">
        <f>ROUND(C227/18,2)</f>
        <v>0</v>
      </c>
      <c r="E227" s="20"/>
      <c r="F227" s="21">
        <f>SUM(D227,E228:E229)</f>
        <v>0</v>
      </c>
      <c r="G227" s="81"/>
      <c r="H227" s="20">
        <f>ROUND(G227/18,2)</f>
        <v>0</v>
      </c>
      <c r="I227" s="20"/>
      <c r="J227" s="21">
        <f>SUM(H227,I228:I229)</f>
        <v>0</v>
      </c>
      <c r="K227" s="82"/>
      <c r="L227" s="20">
        <f>ROUND(K227/18,2)</f>
        <v>0</v>
      </c>
      <c r="M227" s="20"/>
      <c r="N227" s="21">
        <f>SUM(L227,M228:M229)</f>
        <v>0</v>
      </c>
      <c r="O227" s="22">
        <f t="shared" si="505"/>
        <v>0</v>
      </c>
      <c r="P227" s="22">
        <f>ROUND(O227/36,2)</f>
        <v>0</v>
      </c>
      <c r="Q227" s="22"/>
      <c r="R227" s="23">
        <f>SUM(P227,Q228:Q229)</f>
        <v>0</v>
      </c>
    </row>
    <row r="228" spans="1:18" ht="18.75" customHeight="1" x14ac:dyDescent="0.35">
      <c r="A228" s="145"/>
      <c r="B228" s="145" t="s">
        <v>9</v>
      </c>
      <c r="C228" s="271"/>
      <c r="D228" s="20">
        <f t="shared" ref="D228:D229" si="538">ROUND(C228/12,2)</f>
        <v>0</v>
      </c>
      <c r="E228" s="20">
        <f t="shared" ref="E228:E229" si="539">D228*1</f>
        <v>0</v>
      </c>
      <c r="F228" s="21"/>
      <c r="G228" s="81"/>
      <c r="H228" s="20">
        <f t="shared" ref="H228:H229" si="540">ROUND(G228/12,2)</f>
        <v>0</v>
      </c>
      <c r="I228" s="20">
        <f t="shared" ref="I228:I229" si="541">H228*1</f>
        <v>0</v>
      </c>
      <c r="J228" s="21"/>
      <c r="K228" s="82"/>
      <c r="L228" s="20">
        <f t="shared" ref="L228:L229" si="542">ROUND(K228/12,2)</f>
        <v>0</v>
      </c>
      <c r="M228" s="20">
        <f t="shared" ref="M228:M229" si="543">L228*1</f>
        <v>0</v>
      </c>
      <c r="N228" s="21"/>
      <c r="O228" s="22">
        <f t="shared" si="505"/>
        <v>0</v>
      </c>
      <c r="P228" s="22">
        <f t="shared" ref="P228:P229" si="544">ROUND(O228/24,2)</f>
        <v>0</v>
      </c>
      <c r="Q228" s="22">
        <f t="shared" ref="Q228:Q229" si="545">P228*1</f>
        <v>0</v>
      </c>
      <c r="R228" s="23"/>
    </row>
    <row r="229" spans="1:18" ht="18.75" customHeight="1" x14ac:dyDescent="0.35">
      <c r="A229" s="145"/>
      <c r="B229" s="145" t="s">
        <v>10</v>
      </c>
      <c r="C229" s="271"/>
      <c r="D229" s="20">
        <f t="shared" si="538"/>
        <v>0</v>
      </c>
      <c r="E229" s="20">
        <f t="shared" si="539"/>
        <v>0</v>
      </c>
      <c r="F229" s="21"/>
      <c r="G229" s="81"/>
      <c r="H229" s="20">
        <f t="shared" si="540"/>
        <v>0</v>
      </c>
      <c r="I229" s="20">
        <f t="shared" si="541"/>
        <v>0</v>
      </c>
      <c r="J229" s="21"/>
      <c r="K229" s="82"/>
      <c r="L229" s="20">
        <f t="shared" si="542"/>
        <v>0</v>
      </c>
      <c r="M229" s="20">
        <f t="shared" si="543"/>
        <v>0</v>
      </c>
      <c r="N229" s="21"/>
      <c r="O229" s="22">
        <f t="shared" si="505"/>
        <v>0</v>
      </c>
      <c r="P229" s="22">
        <f t="shared" si="544"/>
        <v>0</v>
      </c>
      <c r="Q229" s="22">
        <f t="shared" si="545"/>
        <v>0</v>
      </c>
      <c r="R229" s="23"/>
    </row>
    <row r="230" spans="1:18" ht="18.75" customHeight="1" x14ac:dyDescent="0.35">
      <c r="A230" s="145" t="s">
        <v>78</v>
      </c>
      <c r="B230" s="145" t="s">
        <v>8</v>
      </c>
      <c r="C230" s="82"/>
      <c r="D230" s="20">
        <f>ROUND(C230/18,2)</f>
        <v>0</v>
      </c>
      <c r="E230" s="20"/>
      <c r="F230" s="21">
        <f>SUM(D230,E231:E232)</f>
        <v>0</v>
      </c>
      <c r="G230" s="81"/>
      <c r="H230" s="20">
        <f>ROUND(G230/18,2)</f>
        <v>0</v>
      </c>
      <c r="I230" s="20"/>
      <c r="J230" s="21">
        <f>SUM(H230,I231:I232)</f>
        <v>0</v>
      </c>
      <c r="K230" s="82"/>
      <c r="L230" s="20">
        <f>ROUND(K230/18,2)</f>
        <v>0</v>
      </c>
      <c r="M230" s="20"/>
      <c r="N230" s="21">
        <f>SUM(L230,M231:M232)</f>
        <v>0</v>
      </c>
      <c r="O230" s="22">
        <f t="shared" si="505"/>
        <v>0</v>
      </c>
      <c r="P230" s="22">
        <f>ROUND(O230/36,2)</f>
        <v>0</v>
      </c>
      <c r="Q230" s="22"/>
      <c r="R230" s="23">
        <f>SUM(P230,Q231:Q232)</f>
        <v>0</v>
      </c>
    </row>
    <row r="231" spans="1:18" ht="18.75" customHeight="1" x14ac:dyDescent="0.35">
      <c r="A231" s="145"/>
      <c r="B231" s="145" t="s">
        <v>9</v>
      </c>
      <c r="C231" s="82"/>
      <c r="D231" s="20">
        <f t="shared" ref="D231:D232" si="546">ROUND(C231/12,2)</f>
        <v>0</v>
      </c>
      <c r="E231" s="20">
        <f t="shared" ref="E231:E232" si="547">D231*1</f>
        <v>0</v>
      </c>
      <c r="F231" s="21"/>
      <c r="G231" s="81"/>
      <c r="H231" s="20">
        <f t="shared" ref="H231:H232" si="548">ROUND(G231/12,2)</f>
        <v>0</v>
      </c>
      <c r="I231" s="20">
        <f t="shared" ref="I231:I232" si="549">H231*1</f>
        <v>0</v>
      </c>
      <c r="J231" s="21"/>
      <c r="K231" s="82"/>
      <c r="L231" s="20">
        <f t="shared" ref="L231:L232" si="550">ROUND(K231/12,2)</f>
        <v>0</v>
      </c>
      <c r="M231" s="20">
        <f t="shared" ref="M231:M232" si="551">L231*1</f>
        <v>0</v>
      </c>
      <c r="N231" s="21"/>
      <c r="O231" s="22">
        <f t="shared" si="505"/>
        <v>0</v>
      </c>
      <c r="P231" s="22">
        <f t="shared" ref="P231:P232" si="552">ROUND(O231/24,2)</f>
        <v>0</v>
      </c>
      <c r="Q231" s="22">
        <f t="shared" ref="Q231:Q232" si="553">P231*1</f>
        <v>0</v>
      </c>
      <c r="R231" s="23"/>
    </row>
    <row r="232" spans="1:18" ht="18.75" customHeight="1" x14ac:dyDescent="0.35">
      <c r="A232" s="145"/>
      <c r="B232" s="145" t="s">
        <v>10</v>
      </c>
      <c r="C232" s="82"/>
      <c r="D232" s="20">
        <f t="shared" si="546"/>
        <v>0</v>
      </c>
      <c r="E232" s="20">
        <f t="shared" si="547"/>
        <v>0</v>
      </c>
      <c r="F232" s="21"/>
      <c r="G232" s="81"/>
      <c r="H232" s="20">
        <f t="shared" si="548"/>
        <v>0</v>
      </c>
      <c r="I232" s="20">
        <f t="shared" si="549"/>
        <v>0</v>
      </c>
      <c r="J232" s="21"/>
      <c r="K232" s="97"/>
      <c r="L232" s="38">
        <f t="shared" si="550"/>
        <v>0</v>
      </c>
      <c r="M232" s="38">
        <f t="shared" si="551"/>
        <v>0</v>
      </c>
      <c r="N232" s="39"/>
      <c r="O232" s="22">
        <f t="shared" si="505"/>
        <v>0</v>
      </c>
      <c r="P232" s="22">
        <f t="shared" si="552"/>
        <v>0</v>
      </c>
      <c r="Q232" s="22">
        <f t="shared" si="553"/>
        <v>0</v>
      </c>
      <c r="R232" s="23"/>
    </row>
    <row r="233" spans="1:18" ht="18.75" customHeight="1" x14ac:dyDescent="0.35">
      <c r="A233" s="177" t="s">
        <v>22</v>
      </c>
      <c r="B233" s="151" t="s">
        <v>8</v>
      </c>
      <c r="C233" s="93">
        <f>SUMIF($B$214:$B$232,"ปริญญาตรี",C214:C232)</f>
        <v>1150</v>
      </c>
      <c r="D233" s="32">
        <f>ROUND(C233/18,2)</f>
        <v>63.89</v>
      </c>
      <c r="E233" s="32"/>
      <c r="F233" s="33">
        <f>SUM(D233,E234:E235)</f>
        <v>126.06</v>
      </c>
      <c r="G233" s="93">
        <f>SUMIF($B$214:$B$232,"ปริญญาตรี",G214:G232)</f>
        <v>72</v>
      </c>
      <c r="H233" s="32">
        <f>ROUND(G233/18,2)</f>
        <v>4</v>
      </c>
      <c r="I233" s="32"/>
      <c r="J233" s="33">
        <f>SUM(H233,I234:I235)</f>
        <v>42.08</v>
      </c>
      <c r="K233" s="93">
        <f>SUMIF($B$214:$B$232,"ปริญญาตรี",K214:K232)</f>
        <v>0</v>
      </c>
      <c r="L233" s="98">
        <f>ROUND(K233/18,2)</f>
        <v>0</v>
      </c>
      <c r="M233" s="98"/>
      <c r="N233" s="99">
        <f>SUM(L233,M234:M235)</f>
        <v>17</v>
      </c>
      <c r="O233" s="136">
        <f t="shared" si="505"/>
        <v>1222</v>
      </c>
      <c r="P233" s="34">
        <f>ROUND(O233/36,2)</f>
        <v>33.94</v>
      </c>
      <c r="Q233" s="34"/>
      <c r="R233" s="23">
        <f>SUM(P233,Q234:Q235)</f>
        <v>92.57</v>
      </c>
    </row>
    <row r="234" spans="1:18" ht="18.75" customHeight="1" x14ac:dyDescent="0.35">
      <c r="A234" s="174" t="s">
        <v>22</v>
      </c>
      <c r="B234" s="151" t="s">
        <v>9</v>
      </c>
      <c r="C234" s="93">
        <f>SUMIF($B$214:$B$232,"ปริญญาโท",C214:C232)</f>
        <v>746</v>
      </c>
      <c r="D234" s="32">
        <f t="shared" ref="D234:D235" si="554">ROUND(C234/12,2)</f>
        <v>62.17</v>
      </c>
      <c r="E234" s="32">
        <f t="shared" ref="E234:E235" si="555">D234*1</f>
        <v>62.17</v>
      </c>
      <c r="F234" s="33"/>
      <c r="G234" s="93">
        <f>SUMIF($B$214:$B$232,"ปริญญาโท",G214:G232)</f>
        <v>457</v>
      </c>
      <c r="H234" s="32">
        <f t="shared" ref="H234:H235" si="556">ROUND(G234/12,2)</f>
        <v>38.08</v>
      </c>
      <c r="I234" s="32">
        <f t="shared" ref="I234:I235" si="557">H234*1</f>
        <v>38.08</v>
      </c>
      <c r="J234" s="33"/>
      <c r="K234" s="93">
        <f>SUMIF($B$214:$B$232,"ปริญญาโท",K214:K232)</f>
        <v>204</v>
      </c>
      <c r="L234" s="32">
        <f t="shared" ref="L234:L235" si="558">ROUND(K234/12,2)</f>
        <v>17</v>
      </c>
      <c r="M234" s="32">
        <f t="shared" ref="M234:M235" si="559">L234*1</f>
        <v>17</v>
      </c>
      <c r="N234" s="33"/>
      <c r="O234" s="136">
        <f t="shared" si="505"/>
        <v>1407</v>
      </c>
      <c r="P234" s="34">
        <f t="shared" ref="P234:P235" si="560">ROUND(O234/24,2)</f>
        <v>58.63</v>
      </c>
      <c r="Q234" s="34">
        <f t="shared" ref="Q234:Q235" si="561">P234*1</f>
        <v>58.63</v>
      </c>
      <c r="R234" s="23"/>
    </row>
    <row r="235" spans="1:18" ht="18.75" customHeight="1" thickBot="1" x14ac:dyDescent="0.4">
      <c r="A235" s="175" t="s">
        <v>22</v>
      </c>
      <c r="B235" s="152" t="s">
        <v>10</v>
      </c>
      <c r="C235" s="94">
        <f>SUMIF($B$214:$B$232,"ปริญญาเอก",C214:C232)</f>
        <v>0</v>
      </c>
      <c r="D235" s="35">
        <f t="shared" si="554"/>
        <v>0</v>
      </c>
      <c r="E235" s="35">
        <f t="shared" si="555"/>
        <v>0</v>
      </c>
      <c r="F235" s="36"/>
      <c r="G235" s="94">
        <f>SUMIF($B$214:$B$232,"ปริญญาเอก",G214:G232)</f>
        <v>0</v>
      </c>
      <c r="H235" s="35">
        <f t="shared" si="556"/>
        <v>0</v>
      </c>
      <c r="I235" s="35">
        <f t="shared" si="557"/>
        <v>0</v>
      </c>
      <c r="J235" s="36"/>
      <c r="K235" s="94">
        <f>SUMIF($B$214:$B$232,"ปริญญาเอก",K214:K232)</f>
        <v>0</v>
      </c>
      <c r="L235" s="35">
        <f t="shared" si="558"/>
        <v>0</v>
      </c>
      <c r="M235" s="35">
        <f t="shared" si="559"/>
        <v>0</v>
      </c>
      <c r="N235" s="36"/>
      <c r="O235" s="137">
        <f t="shared" si="505"/>
        <v>0</v>
      </c>
      <c r="P235" s="37">
        <f t="shared" si="560"/>
        <v>0</v>
      </c>
      <c r="Q235" s="37">
        <f t="shared" si="561"/>
        <v>0</v>
      </c>
      <c r="R235" s="27"/>
    </row>
    <row r="236" spans="1:18" ht="18.75" customHeight="1" x14ac:dyDescent="0.35">
      <c r="A236" s="148" t="s">
        <v>79</v>
      </c>
      <c r="B236" s="149"/>
      <c r="C236" s="80"/>
      <c r="D236" s="28"/>
      <c r="E236" s="28"/>
      <c r="F236" s="29"/>
      <c r="G236" s="79"/>
      <c r="H236" s="28"/>
      <c r="I236" s="28"/>
      <c r="J236" s="29"/>
      <c r="K236" s="80"/>
      <c r="L236" s="28"/>
      <c r="M236" s="28"/>
      <c r="N236" s="29"/>
      <c r="O236" s="30"/>
      <c r="P236" s="30"/>
      <c r="Q236" s="30"/>
      <c r="R236" s="31"/>
    </row>
    <row r="237" spans="1:18" ht="18.75" customHeight="1" x14ac:dyDescent="0.35">
      <c r="A237" s="145" t="s">
        <v>7</v>
      </c>
      <c r="B237" s="145" t="s">
        <v>8</v>
      </c>
      <c r="C237" s="271"/>
      <c r="D237" s="20">
        <f>ROUND(C237/18,2)</f>
        <v>0</v>
      </c>
      <c r="E237" s="20"/>
      <c r="F237" s="21">
        <f>SUM(D237,E238:E239)</f>
        <v>12.6</v>
      </c>
      <c r="G237" s="81"/>
      <c r="H237" s="20">
        <f>ROUND(G237/18,2)</f>
        <v>0</v>
      </c>
      <c r="I237" s="20"/>
      <c r="J237" s="21">
        <f>SUM(H237,I238:I239)</f>
        <v>7.2</v>
      </c>
      <c r="K237" s="82"/>
      <c r="L237" s="20">
        <f>ROUND(K237/18,2)</f>
        <v>0</v>
      </c>
      <c r="M237" s="20"/>
      <c r="N237" s="21">
        <f>SUM(L237,M238:M239)</f>
        <v>0</v>
      </c>
      <c r="O237" s="22">
        <f>SUMIF($C$3:$N$3,"SCH",C237:N237)</f>
        <v>0</v>
      </c>
      <c r="P237" s="22">
        <f>ROUND(O237/36,2)</f>
        <v>0</v>
      </c>
      <c r="Q237" s="22"/>
      <c r="R237" s="23">
        <f>SUM(P237,Q238:Q239)</f>
        <v>9.9</v>
      </c>
    </row>
    <row r="238" spans="1:18" ht="18.75" customHeight="1" x14ac:dyDescent="0.35">
      <c r="A238" s="163"/>
      <c r="B238" s="145" t="s">
        <v>9</v>
      </c>
      <c r="C238" s="271">
        <v>84</v>
      </c>
      <c r="D238" s="20">
        <f t="shared" ref="D238:D239" si="562">ROUND(C238/12,2)</f>
        <v>7</v>
      </c>
      <c r="E238" s="20">
        <f t="shared" ref="E238:E239" si="563">D238*1.8</f>
        <v>12.6</v>
      </c>
      <c r="F238" s="21"/>
      <c r="G238" s="81">
        <v>48</v>
      </c>
      <c r="H238" s="20">
        <f t="shared" ref="H238:H239" si="564">ROUND(G238/12,2)</f>
        <v>4</v>
      </c>
      <c r="I238" s="20">
        <f t="shared" ref="I238:I239" si="565">H238*1.8</f>
        <v>7.2</v>
      </c>
      <c r="J238" s="21"/>
      <c r="K238" s="82"/>
      <c r="L238" s="20">
        <f t="shared" ref="L238:L239" si="566">ROUND(K238/12,2)</f>
        <v>0</v>
      </c>
      <c r="M238" s="20">
        <f t="shared" ref="M238:M239" si="567">L238*1.8</f>
        <v>0</v>
      </c>
      <c r="N238" s="21"/>
      <c r="O238" s="22">
        <f>SUMIF($C$3:$N$3,"SCH",C238:N238)</f>
        <v>132</v>
      </c>
      <c r="P238" s="22">
        <f t="shared" ref="P238:P239" si="568">ROUND(O238/24,2)</f>
        <v>5.5</v>
      </c>
      <c r="Q238" s="22">
        <f t="shared" ref="Q238:Q239" si="569">P238*1.8</f>
        <v>9.9</v>
      </c>
      <c r="R238" s="23"/>
    </row>
    <row r="239" spans="1:18" ht="18.75" customHeight="1" thickBot="1" x14ac:dyDescent="0.4">
      <c r="A239" s="164"/>
      <c r="B239" s="146" t="s">
        <v>10</v>
      </c>
      <c r="C239" s="272"/>
      <c r="D239" s="24">
        <f t="shared" si="562"/>
        <v>0</v>
      </c>
      <c r="E239" s="24">
        <f t="shared" si="563"/>
        <v>0</v>
      </c>
      <c r="F239" s="25"/>
      <c r="G239" s="83"/>
      <c r="H239" s="24">
        <f t="shared" si="564"/>
        <v>0</v>
      </c>
      <c r="I239" s="24">
        <f t="shared" si="565"/>
        <v>0</v>
      </c>
      <c r="J239" s="25"/>
      <c r="K239" s="84"/>
      <c r="L239" s="24">
        <f t="shared" si="566"/>
        <v>0</v>
      </c>
      <c r="M239" s="24">
        <f t="shared" si="567"/>
        <v>0</v>
      </c>
      <c r="N239" s="25"/>
      <c r="O239" s="92">
        <f>SUMIF($C$3:$N$3,"SCH",C239:N239)</f>
        <v>0</v>
      </c>
      <c r="P239" s="26">
        <f t="shared" si="568"/>
        <v>0</v>
      </c>
      <c r="Q239" s="26">
        <f t="shared" si="569"/>
        <v>0</v>
      </c>
      <c r="R239" s="27"/>
    </row>
    <row r="240" spans="1:18" ht="18.75" customHeight="1" x14ac:dyDescent="0.35">
      <c r="A240" s="148" t="s">
        <v>80</v>
      </c>
      <c r="B240" s="149"/>
      <c r="C240" s="274"/>
      <c r="D240" s="28"/>
      <c r="E240" s="28"/>
      <c r="F240" s="29"/>
      <c r="G240" s="79"/>
      <c r="H240" s="28"/>
      <c r="I240" s="28"/>
      <c r="J240" s="29"/>
      <c r="K240" s="80"/>
      <c r="L240" s="28"/>
      <c r="M240" s="28"/>
      <c r="N240" s="29"/>
      <c r="O240" s="30"/>
      <c r="P240" s="30"/>
      <c r="Q240" s="30"/>
      <c r="R240" s="31"/>
    </row>
    <row r="241" spans="1:26" ht="18.75" customHeight="1" x14ac:dyDescent="0.35">
      <c r="A241" s="145" t="s">
        <v>7</v>
      </c>
      <c r="B241" s="145" t="s">
        <v>8</v>
      </c>
      <c r="C241" s="271"/>
      <c r="D241" s="20">
        <f>ROUND(C241/18,2)</f>
        <v>0</v>
      </c>
      <c r="E241" s="20"/>
      <c r="F241" s="21">
        <f>SUM(D241,E242:E243)</f>
        <v>0</v>
      </c>
      <c r="G241" s="81"/>
      <c r="H241" s="20">
        <f>ROUND(G241/18,2)</f>
        <v>0</v>
      </c>
      <c r="I241" s="20"/>
      <c r="J241" s="21">
        <f>SUM(H241,I242:I243)</f>
        <v>0</v>
      </c>
      <c r="K241" s="82"/>
      <c r="L241" s="20">
        <f>ROUND(K241/18,2)</f>
        <v>0</v>
      </c>
      <c r="M241" s="20"/>
      <c r="N241" s="21">
        <f>SUM(L241,M242:M243)</f>
        <v>0</v>
      </c>
      <c r="O241" s="22">
        <f>SUMIF($C$3:$N$3,"SCH",C241:N241)</f>
        <v>0</v>
      </c>
      <c r="P241" s="22">
        <f>ROUND(O241/36,2)</f>
        <v>0</v>
      </c>
      <c r="Q241" s="22"/>
      <c r="R241" s="23">
        <f>SUM(P241,Q242:Q243)</f>
        <v>0</v>
      </c>
    </row>
    <row r="242" spans="1:26" ht="18.75" customHeight="1" x14ac:dyDescent="0.35">
      <c r="A242" s="176"/>
      <c r="B242" s="145" t="s">
        <v>9</v>
      </c>
      <c r="C242" s="271"/>
      <c r="D242" s="20">
        <f t="shared" ref="D242:D243" si="570">ROUND(C242/12,2)</f>
        <v>0</v>
      </c>
      <c r="E242" s="20">
        <f t="shared" ref="E242:E243" si="571">D242*1.8</f>
        <v>0</v>
      </c>
      <c r="F242" s="21"/>
      <c r="G242" s="81"/>
      <c r="H242" s="20">
        <f t="shared" ref="H242:H243" si="572">ROUND(G242/12,2)</f>
        <v>0</v>
      </c>
      <c r="I242" s="20">
        <f t="shared" ref="I242:I243" si="573">H242*1.8</f>
        <v>0</v>
      </c>
      <c r="J242" s="21"/>
      <c r="K242" s="82"/>
      <c r="L242" s="20">
        <f t="shared" ref="L242:L243" si="574">ROUND(K242/12,2)</f>
        <v>0</v>
      </c>
      <c r="M242" s="20">
        <f t="shared" ref="M242:M243" si="575">L242*1.8</f>
        <v>0</v>
      </c>
      <c r="N242" s="21"/>
      <c r="O242" s="22">
        <f>SUMIF($C$3:$N$3,"SCH",C242:N242)</f>
        <v>0</v>
      </c>
      <c r="P242" s="22">
        <f t="shared" ref="P242:P243" si="576">ROUND(O242/24,2)</f>
        <v>0</v>
      </c>
      <c r="Q242" s="22">
        <f t="shared" ref="Q242:Q243" si="577">P242*1.8</f>
        <v>0</v>
      </c>
      <c r="R242" s="23"/>
    </row>
    <row r="243" spans="1:26" ht="18.75" customHeight="1" thickBot="1" x14ac:dyDescent="0.4">
      <c r="A243" s="164"/>
      <c r="B243" s="146" t="s">
        <v>10</v>
      </c>
      <c r="C243" s="272"/>
      <c r="D243" s="24">
        <f t="shared" si="570"/>
        <v>0</v>
      </c>
      <c r="E243" s="24">
        <f t="shared" si="571"/>
        <v>0</v>
      </c>
      <c r="F243" s="25"/>
      <c r="G243" s="83"/>
      <c r="H243" s="24">
        <f t="shared" si="572"/>
        <v>0</v>
      </c>
      <c r="I243" s="24">
        <f t="shared" si="573"/>
        <v>0</v>
      </c>
      <c r="J243" s="25"/>
      <c r="K243" s="84"/>
      <c r="L243" s="24">
        <f t="shared" si="574"/>
        <v>0</v>
      </c>
      <c r="M243" s="24">
        <f t="shared" si="575"/>
        <v>0</v>
      </c>
      <c r="N243" s="25"/>
      <c r="O243" s="92">
        <f>SUMIF($C$3:$N$3,"SCH",C243:N243)</f>
        <v>0</v>
      </c>
      <c r="P243" s="26">
        <f t="shared" si="576"/>
        <v>0</v>
      </c>
      <c r="Q243" s="26">
        <f t="shared" si="577"/>
        <v>0</v>
      </c>
      <c r="R243" s="27"/>
    </row>
    <row r="244" spans="1:26" ht="18.75" customHeight="1" x14ac:dyDescent="0.35">
      <c r="A244" s="148" t="s">
        <v>81</v>
      </c>
      <c r="B244" s="149"/>
      <c r="C244" s="274"/>
      <c r="D244" s="28"/>
      <c r="E244" s="28"/>
      <c r="F244" s="29"/>
      <c r="G244" s="79"/>
      <c r="H244" s="28"/>
      <c r="I244" s="28"/>
      <c r="J244" s="29"/>
      <c r="K244" s="80"/>
      <c r="L244" s="28"/>
      <c r="M244" s="28"/>
      <c r="N244" s="29"/>
      <c r="O244" s="30"/>
      <c r="P244" s="30"/>
      <c r="Q244" s="30"/>
      <c r="R244" s="31"/>
      <c r="S244" s="65"/>
      <c r="T244" s="65"/>
      <c r="U244" s="65"/>
      <c r="V244" s="65"/>
      <c r="W244" s="65"/>
      <c r="X244" s="65"/>
      <c r="Y244" s="65"/>
      <c r="Z244" s="65"/>
    </row>
    <row r="245" spans="1:26" ht="18.75" customHeight="1" x14ac:dyDescent="0.35">
      <c r="A245" s="145" t="s">
        <v>7</v>
      </c>
      <c r="B245" s="145" t="s">
        <v>8</v>
      </c>
      <c r="C245" s="271"/>
      <c r="D245" s="20">
        <f>ROUND(C245/18,2)</f>
        <v>0</v>
      </c>
      <c r="E245" s="20"/>
      <c r="F245" s="21">
        <f>SUM(D245,E246:E247)</f>
        <v>0</v>
      </c>
      <c r="G245" s="81">
        <v>1545</v>
      </c>
      <c r="H245" s="20">
        <f>ROUND(G245/18,2)</f>
        <v>85.83</v>
      </c>
      <c r="I245" s="20"/>
      <c r="J245" s="21">
        <f>SUM(H245,I246:I247)</f>
        <v>85.83</v>
      </c>
      <c r="K245" s="82">
        <v>219</v>
      </c>
      <c r="L245" s="20">
        <f>ROUND(K245/18,2)</f>
        <v>12.17</v>
      </c>
      <c r="M245" s="20"/>
      <c r="N245" s="21">
        <f>SUM(L245,M246:M247)</f>
        <v>12.17</v>
      </c>
      <c r="O245" s="22">
        <f>SUMIF($C$3:$N$3,"SCH",C245:N245)</f>
        <v>1764</v>
      </c>
      <c r="P245" s="22">
        <f>ROUND(O245/36,2)</f>
        <v>49</v>
      </c>
      <c r="Q245" s="22"/>
      <c r="R245" s="23">
        <f>SUM(P245,Q246:Q247)</f>
        <v>49</v>
      </c>
      <c r="S245" s="65"/>
      <c r="T245" s="65"/>
      <c r="U245" s="65"/>
      <c r="V245" s="65"/>
      <c r="W245" s="65"/>
      <c r="X245" s="65"/>
      <c r="Y245" s="65"/>
      <c r="Z245" s="65"/>
    </row>
    <row r="246" spans="1:26" ht="18.75" customHeight="1" x14ac:dyDescent="0.35">
      <c r="A246" s="176"/>
      <c r="B246" s="145" t="s">
        <v>9</v>
      </c>
      <c r="C246" s="271"/>
      <c r="D246" s="20">
        <f t="shared" ref="D246:D247" si="578">ROUND(C246/12,2)</f>
        <v>0</v>
      </c>
      <c r="E246" s="20">
        <f t="shared" ref="E246:E247" si="579">D246*1.8</f>
        <v>0</v>
      </c>
      <c r="F246" s="21"/>
      <c r="G246" s="81"/>
      <c r="H246" s="20">
        <f t="shared" ref="H246:H247" si="580">ROUND(G246/12,2)</f>
        <v>0</v>
      </c>
      <c r="I246" s="20">
        <f t="shared" ref="I246:I247" si="581">H246*1.8</f>
        <v>0</v>
      </c>
      <c r="J246" s="21"/>
      <c r="K246" s="82"/>
      <c r="L246" s="20">
        <f t="shared" ref="L246:L247" si="582">ROUND(K246/12,2)</f>
        <v>0</v>
      </c>
      <c r="M246" s="20">
        <f t="shared" ref="M246:M247" si="583">L246*1.8</f>
        <v>0</v>
      </c>
      <c r="N246" s="21"/>
      <c r="O246" s="22">
        <f>SUMIF($C$3:$N$3,"SCH",C246:N246)</f>
        <v>0</v>
      </c>
      <c r="P246" s="22">
        <f t="shared" ref="P246:P247" si="584">ROUND(O246/24,2)</f>
        <v>0</v>
      </c>
      <c r="Q246" s="22">
        <f t="shared" ref="Q246:Q247" si="585">P246*1.8</f>
        <v>0</v>
      </c>
      <c r="R246" s="23"/>
      <c r="S246" s="65"/>
      <c r="T246" s="65"/>
      <c r="U246" s="65"/>
      <c r="V246" s="65"/>
      <c r="W246" s="65"/>
      <c r="X246" s="65"/>
      <c r="Y246" s="65"/>
      <c r="Z246" s="65"/>
    </row>
    <row r="247" spans="1:26" ht="18.75" customHeight="1" thickBot="1" x14ac:dyDescent="0.4">
      <c r="A247" s="164"/>
      <c r="B247" s="146" t="s">
        <v>10</v>
      </c>
      <c r="C247" s="272"/>
      <c r="D247" s="24">
        <f t="shared" si="578"/>
        <v>0</v>
      </c>
      <c r="E247" s="24">
        <f t="shared" si="579"/>
        <v>0</v>
      </c>
      <c r="F247" s="25"/>
      <c r="G247" s="83"/>
      <c r="H247" s="24">
        <f t="shared" si="580"/>
        <v>0</v>
      </c>
      <c r="I247" s="24">
        <f t="shared" si="581"/>
        <v>0</v>
      </c>
      <c r="J247" s="25"/>
      <c r="K247" s="84"/>
      <c r="L247" s="24">
        <f t="shared" si="582"/>
        <v>0</v>
      </c>
      <c r="M247" s="24">
        <f t="shared" si="583"/>
        <v>0</v>
      </c>
      <c r="N247" s="25"/>
      <c r="O247" s="92">
        <f>SUMIF($C$3:$N$3,"SCH",C247:N247)</f>
        <v>0</v>
      </c>
      <c r="P247" s="26">
        <f t="shared" si="584"/>
        <v>0</v>
      </c>
      <c r="Q247" s="26">
        <f t="shared" si="585"/>
        <v>0</v>
      </c>
      <c r="R247" s="27"/>
      <c r="S247" s="65"/>
      <c r="T247" s="65"/>
      <c r="U247" s="65"/>
      <c r="V247" s="65"/>
      <c r="W247" s="65"/>
      <c r="X247" s="65"/>
      <c r="Y247" s="65"/>
      <c r="Z247" s="65"/>
    </row>
    <row r="248" spans="1:26" ht="18.75" customHeight="1" x14ac:dyDescent="0.35">
      <c r="A248" s="165" t="s">
        <v>82</v>
      </c>
      <c r="B248" s="155" t="s">
        <v>8</v>
      </c>
      <c r="C248" s="42">
        <f>SUMIFS(C4:C247, $B$4:$B$247, "ปริญญาตรี", $A$4:$A$247, "&lt;&gt;รวมทั้งคณะ")</f>
        <v>60103</v>
      </c>
      <c r="D248" s="43">
        <f>SUMIFS(D4:D247, $B$4:$B$247, "ปริญญาตรี", $A$4:$A$247, "&lt;&gt;รวมทั้งคณะ")</f>
        <v>3339.08</v>
      </c>
      <c r="E248" s="40"/>
      <c r="F248" s="41">
        <f>ROUND(SUM(D248,E249:E251),2)</f>
        <v>4420.53</v>
      </c>
      <c r="G248" s="42">
        <f>SUMIFS(G4:G247, $B$4:$B$247, "ปริญญาตรี", $A$4:$A$247, "&lt;&gt;รวมทั้งคณะ")</f>
        <v>54595</v>
      </c>
      <c r="H248" s="43">
        <f>SUMIFS(H4:H247, $B$4:$B$247, "ปริญญาตรี", $A$4:$A$247, "&lt;&gt;รวมทั้งคณะ")</f>
        <v>3033.0299999999997</v>
      </c>
      <c r="I248" s="40"/>
      <c r="J248" s="41">
        <f>ROUND(SUM(H248,I249:I251),2)</f>
        <v>4071.37</v>
      </c>
      <c r="K248" s="42">
        <f>SUMIFS(K4:K247, $B$4:$B$247, "ปริญญาตรี", $A$4:$A$247, "&lt;&gt;รวมทั้งคณะ")</f>
        <v>8014</v>
      </c>
      <c r="L248" s="43">
        <f>SUMIFS(L4:L247, $B$4:$B$247, "ปริญญาตรี", $A$4:$A$247, "&lt;&gt;รวมทั้งคณะ")</f>
        <v>445.23</v>
      </c>
      <c r="M248" s="40"/>
      <c r="N248" s="41">
        <f>ROUND(SUM(L248,M249:M251),2)</f>
        <v>676.37</v>
      </c>
      <c r="O248" s="42">
        <f>SUMIFS(O4:O247, $B$4:$B$247, "ปริญญาตรี", $A$4:$A$247, "&lt;&gt;รวมทั้งคณะ")</f>
        <v>122712</v>
      </c>
      <c r="P248" s="43">
        <f>SUMIFS(P4:P247, $B$4:$B$247, "ปริญญาตรี", $A$4:$A$247, "&lt;&gt;รวมทั้งคณะ")</f>
        <v>3408.65</v>
      </c>
      <c r="Q248" s="40"/>
      <c r="R248" s="41">
        <f>ROUND(SUM(P248,Q249:Q251),2)</f>
        <v>4584.18</v>
      </c>
    </row>
    <row r="249" spans="1:26" ht="18.75" customHeight="1" x14ac:dyDescent="0.35">
      <c r="A249" s="166" t="s">
        <v>82</v>
      </c>
      <c r="B249" s="155" t="s">
        <v>64</v>
      </c>
      <c r="C249" s="42">
        <f>SUMIFS(C4:C247, $B$4:$B$247, "ป.บัณฑิต", $A$4:$A$247, "&lt;&gt;รวมทั้งคณะ")</f>
        <v>0</v>
      </c>
      <c r="D249" s="46">
        <f>SUMIFS(D4:D247, $B$4:$B$247, "ป.บัณฑิต", $A$4:$A$247, "&lt;&gt;รวมทั้งคณะ")</f>
        <v>0</v>
      </c>
      <c r="E249" s="129">
        <f>SUMIFS(E4:E247, $B$4:$B$247, "ป.บัณฑิต", $A$4:$A$247, "&lt;&gt;รวมทั้งคณะ")</f>
        <v>0</v>
      </c>
      <c r="F249" s="45"/>
      <c r="G249" s="42">
        <f>SUMIFS(G4:G247, $B$4:$B$247, "ป.บัณฑิต", $A$4:$A$247, "&lt;&gt;รวมทั้งคณะ")</f>
        <v>672</v>
      </c>
      <c r="H249" s="46">
        <f>SUMIFS(H4:H247, $B$4:$B$247, "ป.บัณฑิต", $A$4:$A$247, "&lt;&gt;รวมทั้งคณะ")</f>
        <v>56</v>
      </c>
      <c r="I249" s="129">
        <f>SUMIFS(I4:I247, $B$4:$B$247, "ป.บัณฑิต", $A$4:$A$247, "&lt;&gt;รวมทั้งคณะ")</f>
        <v>84</v>
      </c>
      <c r="J249" s="45"/>
      <c r="K249" s="42">
        <f>SUMIFS(K4:K247, $B$4:$B$247, "ป.บัณฑิต", $A$4:$A$247, "&lt;&gt;รวมทั้งคณะ")</f>
        <v>416</v>
      </c>
      <c r="L249" s="46">
        <f>SUMIFS(L4:L247, $B$4:$B$247, "ป.บัณฑิต", $A$4:$A$247, "&lt;&gt;รวมทั้งคณะ")</f>
        <v>34.67</v>
      </c>
      <c r="M249" s="129">
        <f>SUMIFS(M4:M247, $B$4:$B$247, "ป.บัณฑิต", $A$4:$A$247, "&lt;&gt;รวมทั้งคณะ")</f>
        <v>52.005000000000003</v>
      </c>
      <c r="N249" s="45"/>
      <c r="O249" s="42">
        <f>SUMIFS(O4:O247, $B$4:$B$247, "ป.บัณฑิต", $A$4:$A$247, "&lt;&gt;รวมทั้งคณะ")</f>
        <v>1088</v>
      </c>
      <c r="P249" s="46">
        <f>SUMIFS(P4:P247, $B$4:$B$247, "ป.บัณฑิต", $A$4:$A$247, "&lt;&gt;รวมทั้งคณะ")</f>
        <v>45.33</v>
      </c>
      <c r="Q249" s="129">
        <f>SUMIFS(Q4:Q247, $B$4:$B$247, "ป.บัณฑิต", $A$4:$A$247, "&lt;&gt;รวมทั้งคณะ")</f>
        <v>67.995000000000005</v>
      </c>
      <c r="R249" s="45"/>
    </row>
    <row r="250" spans="1:26" ht="18.75" customHeight="1" x14ac:dyDescent="0.35">
      <c r="A250" s="166" t="s">
        <v>82</v>
      </c>
      <c r="B250" s="155" t="s">
        <v>9</v>
      </c>
      <c r="C250" s="42">
        <f>SUMIFS(C4:C247, $B$4:$B$247, "ปริญญาโท", $A$4:$A$247, "&lt;&gt;รวมทั้งคณะ")</f>
        <v>8243</v>
      </c>
      <c r="D250" s="46">
        <f>SUMIFS(D4:D247, $B$4:$B$247, "ปริญญาโท", $A$4:$A$247, "&lt;&gt;รวมทั้งคณะ")</f>
        <v>686.92000000000007</v>
      </c>
      <c r="E250" s="40">
        <f>SUMIFS(E4:E247, $B$4:$B$247, "ปริญญาโท", $A$4:$A$247, "&lt;&gt;รวมทั้งคณะ")</f>
        <v>1056.4760000000001</v>
      </c>
      <c r="F250" s="45"/>
      <c r="G250" s="42">
        <f>SUMIFS(G4:G247, $B$4:$B$247, "ปริญญาโท", $A$4:$A$247, "&lt;&gt;รวมทั้งคณะ")</f>
        <v>7238</v>
      </c>
      <c r="H250" s="46">
        <f>SUMIFS(H4:H247, $B$4:$B$247, "ปริญญาโท", $A$4:$A$247, "&lt;&gt;รวมทั้งคณะ")</f>
        <v>603.16000000000008</v>
      </c>
      <c r="I250" s="40">
        <f>SUMIFS(I4:I247, $B$4:$B$247, "ปริญญาโท", $A$4:$A$247, "&lt;&gt;รวมทั้งคณะ")</f>
        <v>927.48500000000013</v>
      </c>
      <c r="J250" s="45"/>
      <c r="K250" s="42">
        <f>SUMIFS(K4:K247, $B$4:$B$247, "ปริญญาโท", $A$4:$A$247, "&lt;&gt;รวมทั้งคณะ")</f>
        <v>1317</v>
      </c>
      <c r="L250" s="46">
        <f>SUMIFS(L4:L247, $B$4:$B$247, "ปริญญาโท", $A$4:$A$247, "&lt;&gt;รวมทั้งคณะ")</f>
        <v>109.74</v>
      </c>
      <c r="M250" s="40">
        <f>SUMIFS(M4:M247, $B$4:$B$247, "ปริญญาโท", $A$4:$A$247, "&lt;&gt;รวมทั้งคณะ")</f>
        <v>166.52999999999997</v>
      </c>
      <c r="N250" s="45"/>
      <c r="O250" s="42">
        <f>SUMIFS(O4:O247, $B$4:$B$247, "ปริญญาโท", $A$4:$A$247, "&lt;&gt;รวมทั้งคณะ")</f>
        <v>16798</v>
      </c>
      <c r="P250" s="46">
        <f>SUMIFS(P4:P247, $B$4:$B$247, "ปริญญาโท", $A$4:$A$247, "&lt;&gt;รวมทั้งคณะ")</f>
        <v>699.94999999999993</v>
      </c>
      <c r="Q250" s="40">
        <f>SUMIFS(Q4:Q247, $B$4:$B$247, "ปริญญาโท", $A$4:$A$247, "&lt;&gt;รวมทั้งคณะ")</f>
        <v>1075.3070000000002</v>
      </c>
      <c r="R250" s="45"/>
    </row>
    <row r="251" spans="1:26" ht="18.75" customHeight="1" thickBot="1" x14ac:dyDescent="0.4">
      <c r="A251" s="167" t="s">
        <v>82</v>
      </c>
      <c r="B251" s="156" t="s">
        <v>10</v>
      </c>
      <c r="C251" s="49">
        <f>SUMIFS(C4:C247, $B$4:$B$247, "ปริญญาเอก", $A$4:$A$247, "&lt;&gt;รวมทั้งคณะ")</f>
        <v>168</v>
      </c>
      <c r="D251" s="50">
        <f>SUMIFS(D4:D247, $B$4:$B$247, "ปริญญาเอก", $A$4:$A$247, "&lt;&gt;รวมทั้งคณะ")</f>
        <v>14</v>
      </c>
      <c r="E251" s="47">
        <f>SUMIFS(E4:E247, $B$4:$B$247, "ปริญญาเอก", $A$4:$A$247, "&lt;&gt;รวมทั้งคณะ")</f>
        <v>24.975000000000001</v>
      </c>
      <c r="F251" s="48"/>
      <c r="G251" s="49">
        <f>SUMIFS(G4:G247, $B$4:$B$247, "ปริญญาเอก", $A$4:$A$247, "&lt;&gt;รวมทั้งคณะ")</f>
        <v>180</v>
      </c>
      <c r="H251" s="50">
        <f>SUMIFS(H4:H247, $B$4:$B$247, "ปริญญาเอก", $A$4:$A$247, "&lt;&gt;รวมทั้งคณะ")</f>
        <v>15</v>
      </c>
      <c r="I251" s="47">
        <f>SUMIFS(I4:I247, $B$4:$B$247, "ปริญญาเอก", $A$4:$A$247, "&lt;&gt;รวมทั้งคณะ")</f>
        <v>26.85</v>
      </c>
      <c r="J251" s="48"/>
      <c r="K251" s="49">
        <f>SUMIFS(K4:K247, $B$4:$B$247, "ปริญญาเอก", $A$4:$A$247, "&lt;&gt;รวมทั้งคณะ")</f>
        <v>84</v>
      </c>
      <c r="L251" s="50">
        <f>SUMIFS(L4:L247, $B$4:$B$247, "ปริญญาเอก", $A$4:$A$247, "&lt;&gt;รวมทั้งคณะ")</f>
        <v>7</v>
      </c>
      <c r="M251" s="47">
        <f>SUMIFS(M4:M247, $B$4:$B$247, "ปริญญาเอก", $A$4:$A$247, "&lt;&gt;รวมทั้งคณะ")</f>
        <v>12.6</v>
      </c>
      <c r="N251" s="48"/>
      <c r="O251" s="49">
        <f>SUMIFS(O4:O247, $B$4:$B$247, "ปริญญาเอก", $A$4:$A$247, "&lt;&gt;รวมทั้งคณะ")</f>
        <v>432</v>
      </c>
      <c r="P251" s="50">
        <f>SUMIFS(P4:P247, $B$4:$B$247, "ปริญญาเอก", $A$4:$A$247, "&lt;&gt;รวมทั้งคณะ")</f>
        <v>18.010000000000002</v>
      </c>
      <c r="Q251" s="47">
        <f>SUMIFS(Q4:Q247, $B$4:$B$247, "ปริญญาเอก", $A$4:$A$247, "&lt;&gt;รวมทั้งคณะ")</f>
        <v>32.228999999999999</v>
      </c>
      <c r="R251" s="48"/>
    </row>
    <row r="252" spans="1:26" s="51" customFormat="1" ht="18.75" customHeight="1" x14ac:dyDescent="0.3">
      <c r="C252" s="141"/>
      <c r="D252" s="141"/>
      <c r="E252" s="141"/>
      <c r="F252" s="141"/>
      <c r="G252" s="141"/>
      <c r="H252" s="141"/>
      <c r="I252" s="141"/>
      <c r="J252" s="141"/>
      <c r="K252" s="141"/>
      <c r="L252" s="141"/>
      <c r="M252" s="141"/>
      <c r="N252" s="141"/>
      <c r="O252" s="141"/>
      <c r="P252" s="141"/>
      <c r="Q252" s="141"/>
      <c r="R252" s="141"/>
    </row>
    <row r="253" spans="1:26" ht="18.75" customHeight="1" x14ac:dyDescent="0.35">
      <c r="A253" s="162" t="s">
        <v>83</v>
      </c>
      <c r="B253" s="157"/>
      <c r="C253" s="142"/>
      <c r="D253" s="52"/>
      <c r="E253" s="52"/>
      <c r="F253" s="52"/>
      <c r="G253" s="52"/>
      <c r="H253" s="52"/>
      <c r="I253" s="52"/>
      <c r="J253" s="52"/>
      <c r="K253" s="142"/>
      <c r="L253" s="52"/>
      <c r="M253" s="52"/>
      <c r="N253" s="52"/>
      <c r="O253" s="53"/>
      <c r="P253" s="52"/>
      <c r="Q253" s="52"/>
      <c r="R253" s="53"/>
    </row>
    <row r="254" spans="1:26" ht="18.75" customHeight="1" x14ac:dyDescent="0.35">
      <c r="A254" s="144" t="s">
        <v>84</v>
      </c>
      <c r="B254" s="158"/>
      <c r="C254" s="82"/>
      <c r="D254" s="20"/>
      <c r="E254" s="20"/>
      <c r="F254" s="21"/>
      <c r="G254" s="81"/>
      <c r="H254" s="20"/>
      <c r="I254" s="20"/>
      <c r="J254" s="21"/>
      <c r="K254" s="82"/>
      <c r="L254" s="20"/>
      <c r="M254" s="20"/>
      <c r="N254" s="21"/>
      <c r="O254" s="34"/>
      <c r="P254" s="22"/>
      <c r="Q254" s="22"/>
      <c r="R254" s="23"/>
    </row>
    <row r="255" spans="1:26" ht="18.75" customHeight="1" x14ac:dyDescent="0.35">
      <c r="A255" s="145" t="s">
        <v>7</v>
      </c>
      <c r="B255" s="145" t="s">
        <v>8</v>
      </c>
      <c r="C255" s="271">
        <v>709</v>
      </c>
      <c r="D255" s="20">
        <f>ROUND(C255/18,2)</f>
        <v>39.39</v>
      </c>
      <c r="E255" s="20"/>
      <c r="F255" s="21">
        <f>SUM(D255,E256:E257)</f>
        <v>39.39</v>
      </c>
      <c r="G255" s="81"/>
      <c r="H255" s="20">
        <f>ROUND(G255/18,2)</f>
        <v>0</v>
      </c>
      <c r="I255" s="20"/>
      <c r="J255" s="21">
        <f>SUM(H255,I256:I257)</f>
        <v>0</v>
      </c>
      <c r="K255" s="82"/>
      <c r="L255" s="20">
        <f>ROUND(K255/18,2)</f>
        <v>0</v>
      </c>
      <c r="M255" s="20"/>
      <c r="N255" s="21">
        <f>SUM(L255,M256:M257)</f>
        <v>0</v>
      </c>
      <c r="O255" s="22">
        <f t="shared" ref="O255:O265" si="586">SUMIF($C$3:$N$3,"SCH",C255:N255)</f>
        <v>709</v>
      </c>
      <c r="P255" s="22">
        <f>ROUND(O255/36,2)</f>
        <v>19.690000000000001</v>
      </c>
      <c r="Q255" s="22"/>
      <c r="R255" s="23">
        <f>SUM(P255,Q256:Q257)</f>
        <v>19.690000000000001</v>
      </c>
    </row>
    <row r="256" spans="1:26" ht="18.75" customHeight="1" x14ac:dyDescent="0.35">
      <c r="A256" s="163"/>
      <c r="B256" s="145" t="s">
        <v>9</v>
      </c>
      <c r="C256" s="271"/>
      <c r="D256" s="20">
        <f t="shared" ref="D256:D257" si="587">ROUND(C256/12,2)</f>
        <v>0</v>
      </c>
      <c r="E256" s="20">
        <f t="shared" ref="E256:E257" si="588">D256*2</f>
        <v>0</v>
      </c>
      <c r="F256" s="21"/>
      <c r="G256" s="81"/>
      <c r="H256" s="20">
        <f t="shared" ref="H256:H257" si="589">ROUND(G256/12,2)</f>
        <v>0</v>
      </c>
      <c r="I256" s="20">
        <f t="shared" ref="I256:I257" si="590">H256*2</f>
        <v>0</v>
      </c>
      <c r="J256" s="21"/>
      <c r="K256" s="82"/>
      <c r="L256" s="20">
        <f t="shared" ref="L256:L257" si="591">ROUND(K256/12,2)</f>
        <v>0</v>
      </c>
      <c r="M256" s="20">
        <f t="shared" ref="M256:M257" si="592">L256*2</f>
        <v>0</v>
      </c>
      <c r="N256" s="21"/>
      <c r="O256" s="22">
        <f t="shared" si="586"/>
        <v>0</v>
      </c>
      <c r="P256" s="22">
        <f t="shared" ref="P256:P257" si="593">ROUND(O256/24,2)</f>
        <v>0</v>
      </c>
      <c r="Q256" s="22">
        <f t="shared" ref="Q256:Q257" si="594">P256*2</f>
        <v>0</v>
      </c>
      <c r="R256" s="23"/>
    </row>
    <row r="257" spans="1:26" ht="18.75" customHeight="1" thickBot="1" x14ac:dyDescent="0.4">
      <c r="A257" s="164"/>
      <c r="B257" s="146" t="s">
        <v>10</v>
      </c>
      <c r="C257" s="272"/>
      <c r="D257" s="24">
        <f t="shared" si="587"/>
        <v>0</v>
      </c>
      <c r="E257" s="24">
        <f t="shared" si="588"/>
        <v>0</v>
      </c>
      <c r="F257" s="25"/>
      <c r="G257" s="83"/>
      <c r="H257" s="24">
        <f t="shared" si="589"/>
        <v>0</v>
      </c>
      <c r="I257" s="24">
        <f t="shared" si="590"/>
        <v>0</v>
      </c>
      <c r="J257" s="25"/>
      <c r="K257" s="84"/>
      <c r="L257" s="24">
        <f t="shared" si="591"/>
        <v>0</v>
      </c>
      <c r="M257" s="24">
        <f t="shared" si="592"/>
        <v>0</v>
      </c>
      <c r="N257" s="25"/>
      <c r="O257" s="92">
        <f t="shared" si="586"/>
        <v>0</v>
      </c>
      <c r="P257" s="26">
        <f t="shared" si="593"/>
        <v>0</v>
      </c>
      <c r="Q257" s="26">
        <f t="shared" si="594"/>
        <v>0</v>
      </c>
      <c r="R257" s="27"/>
    </row>
    <row r="258" spans="1:26" ht="18.75" customHeight="1" x14ac:dyDescent="0.35">
      <c r="A258" s="148" t="s">
        <v>85</v>
      </c>
      <c r="B258" s="149"/>
      <c r="C258" s="274"/>
      <c r="D258" s="28"/>
      <c r="E258" s="28"/>
      <c r="F258" s="29"/>
      <c r="G258" s="79"/>
      <c r="H258" s="28"/>
      <c r="I258" s="28"/>
      <c r="J258" s="29"/>
      <c r="K258" s="80"/>
      <c r="L258" s="28"/>
      <c r="M258" s="28"/>
      <c r="N258" s="29"/>
      <c r="O258" s="66">
        <f t="shared" si="586"/>
        <v>0</v>
      </c>
      <c r="P258" s="30"/>
      <c r="Q258" s="30"/>
      <c r="R258" s="31"/>
    </row>
    <row r="259" spans="1:26" ht="18.75" customHeight="1" x14ac:dyDescent="0.35">
      <c r="A259" s="145" t="s">
        <v>7</v>
      </c>
      <c r="B259" s="145" t="s">
        <v>8</v>
      </c>
      <c r="C259" s="271"/>
      <c r="D259" s="20">
        <f>ROUND(C259/18,2)</f>
        <v>0</v>
      </c>
      <c r="E259" s="20"/>
      <c r="F259" s="21">
        <f>SUM(D259,E260:E261)</f>
        <v>0</v>
      </c>
      <c r="G259" s="81"/>
      <c r="H259" s="20">
        <f>ROUND(G259/18,2)</f>
        <v>0</v>
      </c>
      <c r="I259" s="20"/>
      <c r="J259" s="21">
        <f>SUM(H259,I260:I261)</f>
        <v>0</v>
      </c>
      <c r="K259" s="82"/>
      <c r="L259" s="20">
        <f>ROUND(K259/18,2)</f>
        <v>0</v>
      </c>
      <c r="M259" s="20"/>
      <c r="N259" s="21">
        <f>SUM(L259,M260:M261)</f>
        <v>0</v>
      </c>
      <c r="O259" s="22">
        <f t="shared" si="586"/>
        <v>0</v>
      </c>
      <c r="P259" s="22">
        <f>ROUND(O259/36,2)</f>
        <v>0</v>
      </c>
      <c r="Q259" s="22"/>
      <c r="R259" s="23">
        <f>SUM(P259,Q260:Q261)</f>
        <v>0</v>
      </c>
    </row>
    <row r="260" spans="1:26" ht="18.75" customHeight="1" x14ac:dyDescent="0.35">
      <c r="A260" s="163"/>
      <c r="B260" s="145" t="s">
        <v>9</v>
      </c>
      <c r="C260" s="271"/>
      <c r="D260" s="20">
        <f t="shared" ref="D260:D261" si="595">ROUND(C260/12,2)</f>
        <v>0</v>
      </c>
      <c r="E260" s="20">
        <f t="shared" ref="E260:E261" si="596">D260*2</f>
        <v>0</v>
      </c>
      <c r="F260" s="21"/>
      <c r="G260" s="81"/>
      <c r="H260" s="20">
        <f t="shared" ref="H260:H261" si="597">ROUND(G260/12,2)</f>
        <v>0</v>
      </c>
      <c r="I260" s="20">
        <f t="shared" ref="I260:I261" si="598">H260*2</f>
        <v>0</v>
      </c>
      <c r="J260" s="21"/>
      <c r="K260" s="82"/>
      <c r="L260" s="20">
        <f t="shared" ref="L260:L261" si="599">ROUND(K260/12,2)</f>
        <v>0</v>
      </c>
      <c r="M260" s="20">
        <f t="shared" ref="M260:M261" si="600">L260*2</f>
        <v>0</v>
      </c>
      <c r="N260" s="21"/>
      <c r="O260" s="22">
        <f t="shared" si="586"/>
        <v>0</v>
      </c>
      <c r="P260" s="22">
        <f t="shared" ref="P260:P261" si="601">ROUND(O260/24,2)</f>
        <v>0</v>
      </c>
      <c r="Q260" s="22">
        <f t="shared" ref="Q260:Q261" si="602">P260*2</f>
        <v>0</v>
      </c>
      <c r="R260" s="23"/>
    </row>
    <row r="261" spans="1:26" ht="18.75" customHeight="1" thickBot="1" x14ac:dyDescent="0.4">
      <c r="A261" s="164"/>
      <c r="B261" s="146" t="s">
        <v>10</v>
      </c>
      <c r="C261" s="272"/>
      <c r="D261" s="24">
        <f t="shared" si="595"/>
        <v>0</v>
      </c>
      <c r="E261" s="24">
        <f t="shared" si="596"/>
        <v>0</v>
      </c>
      <c r="F261" s="25"/>
      <c r="G261" s="83"/>
      <c r="H261" s="24">
        <f t="shared" si="597"/>
        <v>0</v>
      </c>
      <c r="I261" s="24">
        <f t="shared" si="598"/>
        <v>0</v>
      </c>
      <c r="J261" s="25"/>
      <c r="K261" s="84"/>
      <c r="L261" s="24">
        <f t="shared" si="599"/>
        <v>0</v>
      </c>
      <c r="M261" s="24">
        <f t="shared" si="600"/>
        <v>0</v>
      </c>
      <c r="N261" s="25"/>
      <c r="O261" s="92">
        <f t="shared" si="586"/>
        <v>0</v>
      </c>
      <c r="P261" s="26">
        <f t="shared" si="601"/>
        <v>0</v>
      </c>
      <c r="Q261" s="26">
        <f t="shared" si="602"/>
        <v>0</v>
      </c>
      <c r="R261" s="27"/>
    </row>
    <row r="262" spans="1:26" ht="18.75" customHeight="1" x14ac:dyDescent="0.35">
      <c r="A262" s="148" t="s">
        <v>86</v>
      </c>
      <c r="B262" s="149"/>
      <c r="C262" s="274"/>
      <c r="D262" s="28"/>
      <c r="E262" s="28"/>
      <c r="F262" s="29"/>
      <c r="G262" s="79"/>
      <c r="H262" s="28"/>
      <c r="I262" s="28"/>
      <c r="J262" s="29"/>
      <c r="K262" s="80"/>
      <c r="L262" s="28"/>
      <c r="M262" s="28"/>
      <c r="N262" s="29"/>
      <c r="O262" s="66">
        <f t="shared" si="586"/>
        <v>0</v>
      </c>
      <c r="P262" s="30"/>
      <c r="Q262" s="30"/>
      <c r="R262" s="31"/>
      <c r="S262" s="65"/>
      <c r="T262" s="65"/>
      <c r="U262" s="65"/>
      <c r="V262" s="65"/>
      <c r="W262" s="65"/>
      <c r="X262" s="65"/>
      <c r="Y262" s="65"/>
      <c r="Z262" s="65"/>
    </row>
    <row r="263" spans="1:26" ht="18.75" customHeight="1" x14ac:dyDescent="0.35">
      <c r="A263" s="145" t="s">
        <v>7</v>
      </c>
      <c r="B263" s="145" t="s">
        <v>8</v>
      </c>
      <c r="C263" s="271"/>
      <c r="D263" s="20">
        <f>ROUND(C263/18,2)</f>
        <v>0</v>
      </c>
      <c r="E263" s="20"/>
      <c r="F263" s="21">
        <f>SUM(D263,E264:E265)</f>
        <v>0</v>
      </c>
      <c r="G263" s="81"/>
      <c r="H263" s="20">
        <f>ROUND(G263/18,2)</f>
        <v>0</v>
      </c>
      <c r="I263" s="20"/>
      <c r="J263" s="21">
        <f>SUM(H263,I264:I265)</f>
        <v>0</v>
      </c>
      <c r="K263" s="82"/>
      <c r="L263" s="20">
        <f>ROUND(K263/18,2)</f>
        <v>0</v>
      </c>
      <c r="M263" s="20"/>
      <c r="N263" s="21">
        <f>SUM(L263,M264:M265)</f>
        <v>0</v>
      </c>
      <c r="O263" s="22">
        <f t="shared" si="586"/>
        <v>0</v>
      </c>
      <c r="P263" s="22">
        <f>ROUND(O263/36,2)</f>
        <v>0</v>
      </c>
      <c r="Q263" s="22"/>
      <c r="R263" s="23">
        <f>SUM(P263,Q264:Q265)</f>
        <v>0</v>
      </c>
      <c r="S263" s="65"/>
      <c r="T263" s="65"/>
      <c r="U263" s="65"/>
      <c r="V263" s="65"/>
      <c r="W263" s="65"/>
      <c r="X263" s="65"/>
      <c r="Y263" s="65"/>
      <c r="Z263" s="65"/>
    </row>
    <row r="264" spans="1:26" ht="18.75" customHeight="1" x14ac:dyDescent="0.35">
      <c r="A264" s="163"/>
      <c r="B264" s="145" t="s">
        <v>9</v>
      </c>
      <c r="C264" s="271"/>
      <c r="D264" s="20">
        <f t="shared" ref="D264:D265" si="603">ROUND(C264/12,2)</f>
        <v>0</v>
      </c>
      <c r="E264" s="20">
        <f t="shared" ref="E264:E265" si="604">D264*2</f>
        <v>0</v>
      </c>
      <c r="F264" s="21"/>
      <c r="G264" s="81"/>
      <c r="H264" s="20">
        <f t="shared" ref="H264:H265" si="605">ROUND(G264/12,2)</f>
        <v>0</v>
      </c>
      <c r="I264" s="20">
        <f t="shared" ref="I264:I265" si="606">H264*2</f>
        <v>0</v>
      </c>
      <c r="J264" s="21"/>
      <c r="K264" s="82"/>
      <c r="L264" s="20">
        <f t="shared" ref="L264:L265" si="607">ROUND(K264/12,2)</f>
        <v>0</v>
      </c>
      <c r="M264" s="20">
        <f t="shared" ref="M264:M265" si="608">L264*2</f>
        <v>0</v>
      </c>
      <c r="N264" s="21"/>
      <c r="O264" s="22">
        <f t="shared" si="586"/>
        <v>0</v>
      </c>
      <c r="P264" s="22">
        <f t="shared" ref="P264:P265" si="609">ROUND(O264/24,2)</f>
        <v>0</v>
      </c>
      <c r="Q264" s="22">
        <f t="shared" ref="Q264:Q265" si="610">P264*2</f>
        <v>0</v>
      </c>
      <c r="R264" s="23"/>
      <c r="S264" s="65"/>
      <c r="T264" s="65"/>
      <c r="U264" s="65"/>
      <c r="V264" s="65"/>
      <c r="W264" s="65"/>
      <c r="X264" s="65"/>
      <c r="Y264" s="65"/>
      <c r="Z264" s="65"/>
    </row>
    <row r="265" spans="1:26" ht="18.75" customHeight="1" thickBot="1" x14ac:dyDescent="0.4">
      <c r="A265" s="164"/>
      <c r="B265" s="146" t="s">
        <v>10</v>
      </c>
      <c r="C265" s="272"/>
      <c r="D265" s="24">
        <f t="shared" si="603"/>
        <v>0</v>
      </c>
      <c r="E265" s="24">
        <f t="shared" si="604"/>
        <v>0</v>
      </c>
      <c r="F265" s="25"/>
      <c r="G265" s="83"/>
      <c r="H265" s="24">
        <f t="shared" si="605"/>
        <v>0</v>
      </c>
      <c r="I265" s="24">
        <f t="shared" si="606"/>
        <v>0</v>
      </c>
      <c r="J265" s="25"/>
      <c r="K265" s="84"/>
      <c r="L265" s="24">
        <f t="shared" si="607"/>
        <v>0</v>
      </c>
      <c r="M265" s="24">
        <f t="shared" si="608"/>
        <v>0</v>
      </c>
      <c r="N265" s="25"/>
      <c r="O265" s="92">
        <f t="shared" si="586"/>
        <v>0</v>
      </c>
      <c r="P265" s="26">
        <f t="shared" si="609"/>
        <v>0</v>
      </c>
      <c r="Q265" s="26">
        <f t="shared" si="610"/>
        <v>0</v>
      </c>
      <c r="R265" s="27"/>
    </row>
    <row r="266" spans="1:26" ht="18.75" customHeight="1" x14ac:dyDescent="0.35">
      <c r="A266" s="165" t="s">
        <v>87</v>
      </c>
      <c r="B266" s="155" t="s">
        <v>8</v>
      </c>
      <c r="C266" s="128">
        <f>SUMIF($B$254:$B$265,"ปริญญาตรี",C254:C265)</f>
        <v>709</v>
      </c>
      <c r="D266" s="44">
        <f t="shared" ref="D266" si="611">SUM(D255,D259,D263)</f>
        <v>39.39</v>
      </c>
      <c r="E266" s="44"/>
      <c r="F266" s="41">
        <f>ROUND(SUM(D266,E267:E268),2)</f>
        <v>39.39</v>
      </c>
      <c r="G266" s="128">
        <f>SUMIF($B$254:$B$265,"ปริญญาตรี",G254:G265)</f>
        <v>0</v>
      </c>
      <c r="H266" s="44">
        <f t="shared" ref="H266" si="612">SUM(H255,H259,H263)</f>
        <v>0</v>
      </c>
      <c r="I266" s="44"/>
      <c r="J266" s="41">
        <f>ROUND(SUM(H266,I267:I268),2)</f>
        <v>0</v>
      </c>
      <c r="K266" s="128">
        <f>SUMIF($B$254:$B$265,"ปริญญาตรี",K254:K265)</f>
        <v>0</v>
      </c>
      <c r="L266" s="44">
        <f t="shared" ref="L266" si="613">SUM(L255,L259,L263)</f>
        <v>0</v>
      </c>
      <c r="M266" s="44"/>
      <c r="N266" s="41">
        <f>ROUND(SUM(L266,M267:M268),2)</f>
        <v>0</v>
      </c>
      <c r="O266" s="128">
        <f>SUMIF($B$254:$B$265,"ปริญญาตรี",O254:O265)</f>
        <v>709</v>
      </c>
      <c r="P266" s="44">
        <f t="shared" ref="P266" si="614">SUM(P255,P259,P263)</f>
        <v>19.690000000000001</v>
      </c>
      <c r="Q266" s="44"/>
      <c r="R266" s="41">
        <f>ROUND(SUM(P266,Q267:Q268),2)</f>
        <v>19.690000000000001</v>
      </c>
    </row>
    <row r="267" spans="1:26" ht="18.75" customHeight="1" x14ac:dyDescent="0.35">
      <c r="A267" s="166" t="s">
        <v>87</v>
      </c>
      <c r="B267" s="155" t="s">
        <v>9</v>
      </c>
      <c r="C267" s="130">
        <f>SUMIF($B$254:$B$265,"ปริญญาโท",C254:C265)</f>
        <v>0</v>
      </c>
      <c r="D267" s="44">
        <f>SUMIF($B$254:$B$265,"ปริญญาโท",D254:D265)</f>
        <v>0</v>
      </c>
      <c r="E267" s="44">
        <f>SUMIF($B$254:$B$265,"ปริญญาโท",E254:E265)</f>
        <v>0</v>
      </c>
      <c r="F267" s="45"/>
      <c r="G267" s="130">
        <f>SUMIF($B$254:$B$265,"ปริญญาโท",G254:G265)</f>
        <v>0</v>
      </c>
      <c r="H267" s="44">
        <f>SUMIF($B$254:$B$265,"ปริญญาโท",H254:H265)</f>
        <v>0</v>
      </c>
      <c r="I267" s="44">
        <f>SUMIF($B$254:$B$265,"ปริญญาโท",I254:I265)</f>
        <v>0</v>
      </c>
      <c r="J267" s="45"/>
      <c r="K267" s="130">
        <f>SUMIF($B$254:$B$265,"ปริญญาโท",K254:K265)</f>
        <v>0</v>
      </c>
      <c r="L267" s="44">
        <f>SUMIF($B$254:$B$265,"ปริญญาโท",L254:L265)</f>
        <v>0</v>
      </c>
      <c r="M267" s="44">
        <f>SUMIF($B$254:$B$265,"ปริญญาโท",M254:M265)</f>
        <v>0</v>
      </c>
      <c r="N267" s="45"/>
      <c r="O267" s="130">
        <f>SUMIF($B$254:$B$265,"ปริญญาโท",O254:O265)</f>
        <v>0</v>
      </c>
      <c r="P267" s="44">
        <f>SUMIF($B$254:$B$265,"ปริญญาโท",P254:P265)</f>
        <v>0</v>
      </c>
      <c r="Q267" s="44">
        <f>SUMIF($B$254:$B$265,"ปริญญาโท",Q254:Q265)</f>
        <v>0</v>
      </c>
      <c r="R267" s="45"/>
    </row>
    <row r="268" spans="1:26" ht="18.75" customHeight="1" thickBot="1" x14ac:dyDescent="0.4">
      <c r="A268" s="167" t="s">
        <v>87</v>
      </c>
      <c r="B268" s="156" t="s">
        <v>10</v>
      </c>
      <c r="C268" s="131">
        <f>SUMIF($B$254:$B$265,"ปริญญาเอก",C254:C265)</f>
        <v>0</v>
      </c>
      <c r="D268" s="54">
        <f>SUMIF($B$254:$B$265,"ปริญญาเอก",D254:D265)</f>
        <v>0</v>
      </c>
      <c r="E268" s="54">
        <f>SUMIF($B$254:$B$265,"ปริญญาเอก",E254:E265)</f>
        <v>0</v>
      </c>
      <c r="F268" s="48"/>
      <c r="G268" s="131">
        <f>SUMIF($B$254:$B$265,"ปริญญาเอก",G254:G265)</f>
        <v>0</v>
      </c>
      <c r="H268" s="54">
        <f>SUMIF($B$254:$B$265,"ปริญญาเอก",H254:H265)</f>
        <v>0</v>
      </c>
      <c r="I268" s="54">
        <f>SUMIF($B$254:$B$265,"ปริญญาเอก",I254:I265)</f>
        <v>0</v>
      </c>
      <c r="J268" s="48"/>
      <c r="K268" s="131">
        <f>SUMIF($B$254:$B$265,"ปริญญาเอก",K254:K265)</f>
        <v>0</v>
      </c>
      <c r="L268" s="54">
        <f>SUMIF($B$254:$B$265,"ปริญญาเอก",L254:L265)</f>
        <v>0</v>
      </c>
      <c r="M268" s="54">
        <f>SUMIF($B$254:$B$265,"ปริญญาเอก",M254:M265)</f>
        <v>0</v>
      </c>
      <c r="N268" s="48"/>
      <c r="O268" s="131">
        <f>SUMIF($B$254:$B$265,"ปริญญาเอก",O254:O265)</f>
        <v>0</v>
      </c>
      <c r="P268" s="54">
        <f>SUMIF($B$254:$B$265,"ปริญญาเอก",P254:P265)</f>
        <v>0</v>
      </c>
      <c r="Q268" s="54">
        <f>SUMIF($B$254:$B$265,"ปริญญาเอก",Q254:Q265)</f>
        <v>0</v>
      </c>
      <c r="R268" s="48"/>
    </row>
    <row r="269" spans="1:26" ht="18.75" customHeight="1" x14ac:dyDescent="0.35">
      <c r="A269" s="72"/>
      <c r="B269" s="55"/>
      <c r="C269" s="143"/>
      <c r="D269" s="55"/>
      <c r="E269" s="55"/>
      <c r="F269" s="55"/>
      <c r="G269" s="143"/>
      <c r="H269" s="55"/>
      <c r="I269" s="55"/>
      <c r="J269" s="55"/>
      <c r="K269" s="143"/>
      <c r="L269" s="55"/>
      <c r="M269" s="55"/>
      <c r="N269" s="55"/>
      <c r="O269" s="143"/>
      <c r="P269" s="55"/>
      <c r="Q269" s="55"/>
      <c r="R269" s="55"/>
    </row>
    <row r="270" spans="1:26" ht="18.75" customHeight="1" x14ac:dyDescent="0.35">
      <c r="A270" s="162" t="s">
        <v>88</v>
      </c>
      <c r="B270" s="157"/>
      <c r="C270" s="142"/>
      <c r="D270" s="52"/>
      <c r="E270" s="52"/>
      <c r="F270" s="52"/>
      <c r="G270" s="52"/>
      <c r="H270" s="52"/>
      <c r="I270" s="52"/>
      <c r="J270" s="52"/>
      <c r="K270" s="142"/>
      <c r="L270" s="52"/>
      <c r="M270" s="52"/>
      <c r="N270" s="52"/>
      <c r="O270" s="53"/>
      <c r="P270" s="52"/>
      <c r="Q270" s="52"/>
      <c r="R270" s="53"/>
    </row>
    <row r="271" spans="1:26" ht="18.75" customHeight="1" x14ac:dyDescent="0.35">
      <c r="A271" s="144" t="s">
        <v>89</v>
      </c>
      <c r="B271" s="158"/>
      <c r="C271" s="82"/>
      <c r="D271" s="20"/>
      <c r="E271" s="20"/>
      <c r="F271" s="21"/>
      <c r="G271" s="81"/>
      <c r="H271" s="20"/>
      <c r="I271" s="20"/>
      <c r="J271" s="21"/>
      <c r="K271" s="82"/>
      <c r="L271" s="20"/>
      <c r="M271" s="20"/>
      <c r="N271" s="21"/>
      <c r="O271" s="34"/>
      <c r="P271" s="22"/>
      <c r="Q271" s="22"/>
      <c r="R271" s="23"/>
    </row>
    <row r="272" spans="1:26" ht="18.75" customHeight="1" x14ac:dyDescent="0.35">
      <c r="A272" s="145" t="s">
        <v>7</v>
      </c>
      <c r="B272" s="145" t="s">
        <v>8</v>
      </c>
      <c r="C272" s="271">
        <v>801</v>
      </c>
      <c r="D272" s="20">
        <f>ROUND(C272/18,2)</f>
        <v>44.5</v>
      </c>
      <c r="E272" s="20"/>
      <c r="F272" s="21">
        <f>SUM(D272,E273:E274)</f>
        <v>44.5</v>
      </c>
      <c r="G272" s="81">
        <v>542</v>
      </c>
      <c r="H272" s="20">
        <f>ROUND(G272/18,2)</f>
        <v>30.11</v>
      </c>
      <c r="I272" s="20"/>
      <c r="J272" s="21">
        <f>SUM(H272,I273:I274)</f>
        <v>30.11</v>
      </c>
      <c r="K272" s="82"/>
      <c r="L272" s="20">
        <f>ROUND(K272/18,2)</f>
        <v>0</v>
      </c>
      <c r="M272" s="20"/>
      <c r="N272" s="21">
        <f>SUM(L272,M273:M274)</f>
        <v>0</v>
      </c>
      <c r="O272" s="22">
        <f t="shared" ref="O272:O278" si="615">SUMIF($C$3:$N$3,"SCH",C272:N272)</f>
        <v>1343</v>
      </c>
      <c r="P272" s="22">
        <f>ROUND(O272/36,2)</f>
        <v>37.31</v>
      </c>
      <c r="Q272" s="22"/>
      <c r="R272" s="23">
        <f>SUM(P272,Q273:Q274)</f>
        <v>37.31</v>
      </c>
    </row>
    <row r="273" spans="1:26" ht="18.75" customHeight="1" x14ac:dyDescent="0.35">
      <c r="A273" s="163"/>
      <c r="B273" s="145" t="s">
        <v>9</v>
      </c>
      <c r="C273" s="271"/>
      <c r="D273" s="20">
        <f t="shared" ref="D273:D274" si="616">ROUND(C273/12,2)</f>
        <v>0</v>
      </c>
      <c r="E273" s="20">
        <f t="shared" ref="E273:E274" si="617">D273*2</f>
        <v>0</v>
      </c>
      <c r="F273" s="21"/>
      <c r="G273" s="81"/>
      <c r="H273" s="20">
        <f t="shared" ref="H273:H274" si="618">ROUND(G273/12,2)</f>
        <v>0</v>
      </c>
      <c r="I273" s="20">
        <f t="shared" ref="I273:I274" si="619">H273*2</f>
        <v>0</v>
      </c>
      <c r="J273" s="21"/>
      <c r="K273" s="82"/>
      <c r="L273" s="20">
        <f t="shared" ref="L273:L274" si="620">ROUND(K273/12,2)</f>
        <v>0</v>
      </c>
      <c r="M273" s="20">
        <f t="shared" ref="M273:M274" si="621">L273*2</f>
        <v>0</v>
      </c>
      <c r="N273" s="21"/>
      <c r="O273" s="22">
        <f t="shared" si="615"/>
        <v>0</v>
      </c>
      <c r="P273" s="22">
        <f t="shared" ref="P273:P274" si="622">ROUND(O273/24,2)</f>
        <v>0</v>
      </c>
      <c r="Q273" s="22">
        <f t="shared" ref="Q273:Q274" si="623">P273*2</f>
        <v>0</v>
      </c>
      <c r="R273" s="23"/>
    </row>
    <row r="274" spans="1:26" ht="18.75" customHeight="1" thickBot="1" x14ac:dyDescent="0.4">
      <c r="A274" s="164"/>
      <c r="B274" s="146" t="s">
        <v>10</v>
      </c>
      <c r="C274" s="272"/>
      <c r="D274" s="24">
        <f t="shared" si="616"/>
        <v>0</v>
      </c>
      <c r="E274" s="24">
        <f t="shared" si="617"/>
        <v>0</v>
      </c>
      <c r="F274" s="25"/>
      <c r="G274" s="83"/>
      <c r="H274" s="24">
        <f t="shared" si="618"/>
        <v>0</v>
      </c>
      <c r="I274" s="24">
        <f t="shared" si="619"/>
        <v>0</v>
      </c>
      <c r="J274" s="25"/>
      <c r="K274" s="84"/>
      <c r="L274" s="24">
        <f t="shared" si="620"/>
        <v>0</v>
      </c>
      <c r="M274" s="24">
        <f t="shared" si="621"/>
        <v>0</v>
      </c>
      <c r="N274" s="25"/>
      <c r="O274" s="92">
        <f t="shared" si="615"/>
        <v>0</v>
      </c>
      <c r="P274" s="26">
        <f t="shared" si="622"/>
        <v>0</v>
      </c>
      <c r="Q274" s="26">
        <f t="shared" si="623"/>
        <v>0</v>
      </c>
      <c r="R274" s="27"/>
    </row>
    <row r="275" spans="1:26" ht="18.75" customHeight="1" x14ac:dyDescent="0.35">
      <c r="A275" s="148" t="s">
        <v>90</v>
      </c>
      <c r="B275" s="153"/>
      <c r="C275" s="274"/>
      <c r="D275" s="28"/>
      <c r="E275" s="28"/>
      <c r="F275" s="29"/>
      <c r="G275" s="79"/>
      <c r="H275" s="28"/>
      <c r="I275" s="28"/>
      <c r="J275" s="29"/>
      <c r="K275" s="80"/>
      <c r="L275" s="28"/>
      <c r="M275" s="28"/>
      <c r="N275" s="29"/>
      <c r="O275" s="30">
        <f t="shared" si="615"/>
        <v>0</v>
      </c>
      <c r="P275" s="30"/>
      <c r="Q275" s="30"/>
      <c r="R275" s="31"/>
      <c r="S275" s="65"/>
      <c r="T275" s="65"/>
      <c r="U275" s="65"/>
      <c r="V275" s="65"/>
      <c r="W275" s="65"/>
      <c r="X275" s="65"/>
      <c r="Y275" s="65"/>
      <c r="Z275" s="65"/>
    </row>
    <row r="276" spans="1:26" ht="18.75" customHeight="1" x14ac:dyDescent="0.35">
      <c r="A276" s="145" t="s">
        <v>7</v>
      </c>
      <c r="B276" s="145" t="s">
        <v>8</v>
      </c>
      <c r="C276" s="271"/>
      <c r="D276" s="20"/>
      <c r="E276" s="20"/>
      <c r="F276" s="21">
        <f>SUM(D276,E277:E278)</f>
        <v>0</v>
      </c>
      <c r="G276" s="81"/>
      <c r="H276" s="20">
        <f>ROUND(G276/18,2)</f>
        <v>0</v>
      </c>
      <c r="I276" s="20"/>
      <c r="J276" s="21">
        <f>SUM(H276,I277:I278)</f>
        <v>0</v>
      </c>
      <c r="K276" s="82"/>
      <c r="L276" s="20">
        <f>ROUND(K276/18,2)</f>
        <v>0</v>
      </c>
      <c r="M276" s="20"/>
      <c r="N276" s="21">
        <f>SUM(L276,M277:M278)</f>
        <v>0</v>
      </c>
      <c r="O276" s="22">
        <f t="shared" si="615"/>
        <v>0</v>
      </c>
      <c r="P276" s="22">
        <f>ROUND(O276/36,2)</f>
        <v>0</v>
      </c>
      <c r="Q276" s="22"/>
      <c r="R276" s="23">
        <f>SUM(P276,Q277:Q278)</f>
        <v>0</v>
      </c>
      <c r="S276" s="65"/>
      <c r="T276" s="65"/>
      <c r="U276" s="65"/>
      <c r="V276" s="65"/>
      <c r="W276" s="65"/>
      <c r="X276" s="65"/>
      <c r="Y276" s="65"/>
      <c r="Z276" s="65"/>
    </row>
    <row r="277" spans="1:26" ht="18.75" customHeight="1" x14ac:dyDescent="0.35">
      <c r="A277" s="145"/>
      <c r="B277" s="145" t="s">
        <v>9</v>
      </c>
      <c r="C277" s="271"/>
      <c r="D277" s="20">
        <f t="shared" ref="D277:D278" si="624">ROUND(C277/12,2)</f>
        <v>0</v>
      </c>
      <c r="E277" s="20"/>
      <c r="F277" s="21"/>
      <c r="G277" s="81"/>
      <c r="H277" s="20">
        <f t="shared" ref="H277:H278" si="625">ROUND(G277/12,2)</f>
        <v>0</v>
      </c>
      <c r="I277" s="20">
        <f t="shared" ref="I277:I278" si="626">H277*2</f>
        <v>0</v>
      </c>
      <c r="J277" s="21"/>
      <c r="K277" s="82"/>
      <c r="L277" s="20">
        <f t="shared" ref="L277:L278" si="627">ROUND(K277/12,2)</f>
        <v>0</v>
      </c>
      <c r="M277" s="20">
        <f t="shared" ref="M277:M278" si="628">L277*2</f>
        <v>0</v>
      </c>
      <c r="N277" s="21"/>
      <c r="O277" s="22">
        <f t="shared" si="615"/>
        <v>0</v>
      </c>
      <c r="P277" s="22">
        <f t="shared" ref="P277:P278" si="629">ROUND(O277/24,2)</f>
        <v>0</v>
      </c>
      <c r="Q277" s="22">
        <f t="shared" ref="Q277:Q278" si="630">P277*2</f>
        <v>0</v>
      </c>
      <c r="R277" s="23"/>
      <c r="S277" s="65"/>
      <c r="T277" s="65"/>
      <c r="U277" s="65"/>
      <c r="V277" s="65"/>
      <c r="W277" s="65"/>
      <c r="X277" s="65"/>
      <c r="Y277" s="65"/>
      <c r="Z277" s="65"/>
    </row>
    <row r="278" spans="1:26" ht="18.75" customHeight="1" thickBot="1" x14ac:dyDescent="0.4">
      <c r="A278" s="146"/>
      <c r="B278" s="146" t="s">
        <v>10</v>
      </c>
      <c r="C278" s="272"/>
      <c r="D278" s="24">
        <f t="shared" si="624"/>
        <v>0</v>
      </c>
      <c r="E278" s="24"/>
      <c r="F278" s="25"/>
      <c r="G278" s="83"/>
      <c r="H278" s="24">
        <f t="shared" si="625"/>
        <v>0</v>
      </c>
      <c r="I278" s="24">
        <f t="shared" si="626"/>
        <v>0</v>
      </c>
      <c r="J278" s="25"/>
      <c r="K278" s="84"/>
      <c r="L278" s="24">
        <f t="shared" si="627"/>
        <v>0</v>
      </c>
      <c r="M278" s="24">
        <f t="shared" si="628"/>
        <v>0</v>
      </c>
      <c r="N278" s="25"/>
      <c r="O278" s="92">
        <f t="shared" si="615"/>
        <v>0</v>
      </c>
      <c r="P278" s="26">
        <f t="shared" si="629"/>
        <v>0</v>
      </c>
      <c r="Q278" s="26">
        <f t="shared" si="630"/>
        <v>0</v>
      </c>
      <c r="R278" s="27"/>
      <c r="S278" s="65"/>
      <c r="T278" s="65"/>
      <c r="U278" s="65"/>
      <c r="V278" s="65"/>
      <c r="W278" s="65"/>
      <c r="X278" s="65"/>
      <c r="Y278" s="65"/>
      <c r="Z278" s="65"/>
    </row>
    <row r="279" spans="1:26" ht="18.75" customHeight="1" x14ac:dyDescent="0.35">
      <c r="A279" s="165" t="s">
        <v>91</v>
      </c>
      <c r="B279" s="155" t="s">
        <v>8</v>
      </c>
      <c r="C279" s="130">
        <f>SUMIF($B$271:$B$278,"ปริญญาตรี",C271:C278)</f>
        <v>801</v>
      </c>
      <c r="D279" s="44">
        <f>SUMIF($B$271:$B$278,"ปริญญาตรี",D271:D278)</f>
        <v>44.5</v>
      </c>
      <c r="E279" s="44"/>
      <c r="F279" s="41">
        <f>ROUND(SUM(D279,E280:E281),2)</f>
        <v>44.5</v>
      </c>
      <c r="G279" s="130">
        <f>SUMIF($B$271:$B$278,"ปริญญาตรี",G271:G278)</f>
        <v>542</v>
      </c>
      <c r="H279" s="44">
        <f>SUMIF($B$271:$B$278,"ปริญญาตรี",H271:H278)</f>
        <v>30.11</v>
      </c>
      <c r="I279" s="44"/>
      <c r="J279" s="41">
        <f>ROUND(SUM(H279,I280:I281),2)</f>
        <v>30.11</v>
      </c>
      <c r="K279" s="130">
        <f>SUMIF($B$271:$B$278,"ปริญญาตรี",K271:K278)</f>
        <v>0</v>
      </c>
      <c r="L279" s="44">
        <f>SUMIF($B$271:$B$278,"ปริญญาตรี",L271:L278)</f>
        <v>0</v>
      </c>
      <c r="M279" s="44"/>
      <c r="N279" s="41">
        <f>ROUND(SUM(L279,M280:M281),2)</f>
        <v>0</v>
      </c>
      <c r="O279" s="130">
        <f>SUMIF($B$271:$B$278,"ปริญญาตรี",O271:O278)</f>
        <v>1343</v>
      </c>
      <c r="P279" s="44">
        <f>SUMIF($B$271:$B$278,"ปริญญาตรี",P271:P278)</f>
        <v>37.31</v>
      </c>
      <c r="Q279" s="44"/>
      <c r="R279" s="41">
        <f>ROUND(SUM(P279,Q280:Q281),2)</f>
        <v>37.31</v>
      </c>
      <c r="S279" s="65"/>
      <c r="T279" s="65"/>
      <c r="U279" s="65"/>
      <c r="V279" s="65"/>
      <c r="W279" s="65"/>
      <c r="X279" s="65"/>
      <c r="Y279" s="65"/>
      <c r="Z279" s="65"/>
    </row>
    <row r="280" spans="1:26" ht="18.75" customHeight="1" x14ac:dyDescent="0.35">
      <c r="A280" s="166" t="s">
        <v>91</v>
      </c>
      <c r="B280" s="155" t="s">
        <v>9</v>
      </c>
      <c r="C280" s="42">
        <f>SUMIF($B$271:$B$278,"ปริญญาโท",C271:C278)</f>
        <v>0</v>
      </c>
      <c r="D280" s="46">
        <f>SUMIF($B$271:$B$278,"ปริญญาโท",D271:D278)</f>
        <v>0</v>
      </c>
      <c r="E280" s="40">
        <f>SUMIF($B$271:$B$278,"ปริญญาโท",E271:E278)</f>
        <v>0</v>
      </c>
      <c r="F280" s="45"/>
      <c r="G280" s="42">
        <f>SUMIF($B$271:$B$278,"ปริญญาโท",G271:G278)</f>
        <v>0</v>
      </c>
      <c r="H280" s="46">
        <f>SUMIF($B$271:$B$278,"ปริญญาโท",H271:H278)</f>
        <v>0</v>
      </c>
      <c r="I280" s="40">
        <f>SUMIF($B$271:$B$278,"ปริญญาโท",I271:I278)</f>
        <v>0</v>
      </c>
      <c r="J280" s="45"/>
      <c r="K280" s="42">
        <f>SUMIF($B$271:$B$278,"ปริญญาโท",K271:K278)</f>
        <v>0</v>
      </c>
      <c r="L280" s="46">
        <f>SUMIF($B$271:$B$278,"ปริญญาโท",L271:L278)</f>
        <v>0</v>
      </c>
      <c r="M280" s="40">
        <f>SUMIF($B$271:$B$278,"ปริญญาโท",M271:M278)</f>
        <v>0</v>
      </c>
      <c r="N280" s="45"/>
      <c r="O280" s="42">
        <f>SUMIF($B$271:$B$278,"ปริญญาโท",O271:O278)</f>
        <v>0</v>
      </c>
      <c r="P280" s="46">
        <f>SUMIF($B$271:$B$278,"ปริญญาโท",P271:P278)</f>
        <v>0</v>
      </c>
      <c r="Q280" s="40">
        <f>SUMIF($B$271:$B$278,"ปริญญาโท",Q271:Q278)</f>
        <v>0</v>
      </c>
      <c r="R280" s="45"/>
      <c r="S280" s="65"/>
      <c r="T280" s="65"/>
      <c r="U280" s="65"/>
      <c r="V280" s="65"/>
      <c r="W280" s="65"/>
      <c r="X280" s="65"/>
      <c r="Y280" s="65"/>
      <c r="Z280" s="65"/>
    </row>
    <row r="281" spans="1:26" ht="18.75" customHeight="1" thickBot="1" x14ac:dyDescent="0.4">
      <c r="A281" s="167" t="s">
        <v>91</v>
      </c>
      <c r="B281" s="156" t="s">
        <v>10</v>
      </c>
      <c r="C281" s="49">
        <f>SUMIF($B$271:$B$278,"ปริญญาเอก",C271:C278)</f>
        <v>0</v>
      </c>
      <c r="D281" s="50">
        <f>SUMIF($B$271:$B$278,"ปริญญาเอก",D271:D278)</f>
        <v>0</v>
      </c>
      <c r="E281" s="47">
        <f>SUMIF($B$271:$B$278,"ปริญญาเอก",E271:E278)</f>
        <v>0</v>
      </c>
      <c r="F281" s="48"/>
      <c r="G281" s="49">
        <f>SUMIF($B$271:$B$278,"ปริญญาเอก",G271:G278)</f>
        <v>0</v>
      </c>
      <c r="H281" s="50">
        <f>SUMIF($B$271:$B$278,"ปริญญาเอก",H271:H278)</f>
        <v>0</v>
      </c>
      <c r="I281" s="47">
        <f>SUMIF($B$271:$B$278,"ปริญญาเอก",I271:I278)</f>
        <v>0</v>
      </c>
      <c r="J281" s="48"/>
      <c r="K281" s="49">
        <f>SUMIF($B$271:$B$278,"ปริญญาเอก",K271:K278)</f>
        <v>0</v>
      </c>
      <c r="L281" s="50">
        <f>SUMIF($B$271:$B$278,"ปริญญาเอก",L271:L278)</f>
        <v>0</v>
      </c>
      <c r="M281" s="47">
        <f>SUMIF($B$271:$B$278,"ปริญญาเอก",M271:M278)</f>
        <v>0</v>
      </c>
      <c r="N281" s="48"/>
      <c r="O281" s="49">
        <f>SUMIF($B$271:$B$278,"ปริญญาเอก",O271:O278)</f>
        <v>0</v>
      </c>
      <c r="P281" s="50">
        <f>SUMIF($B$271:$B$278,"ปริญญาเอก",P271:P278)</f>
        <v>0</v>
      </c>
      <c r="Q281" s="47">
        <f>SUMIF($B$271:$B$278,"ปริญญาเอก",Q271:Q278)</f>
        <v>0</v>
      </c>
      <c r="R281" s="48"/>
      <c r="S281" s="65"/>
      <c r="T281" s="65"/>
      <c r="U281" s="65"/>
      <c r="V281" s="65"/>
      <c r="W281" s="65"/>
      <c r="X281" s="65"/>
      <c r="Y281" s="65"/>
      <c r="Z281" s="65"/>
    </row>
    <row r="282" spans="1:26" ht="18.75" customHeight="1" x14ac:dyDescent="0.35">
      <c r="A282" s="168" t="s">
        <v>92</v>
      </c>
      <c r="B282" s="159" t="s">
        <v>8</v>
      </c>
      <c r="C282" s="132">
        <f>SUM(SUMIFS(C4:C281,$B$4:$B$281,"ปริญญาตรี",$A$4:$A$281,"รวมทั้งวิทยาเขตสระแก้ว"),
     SUMIFS(C4:C281,$B$4:$B$281,"ปริญญาตรี",$A$4:$A$281,"รวมทั้งวิทยาเขตจันทบุรี"),
     SUMIFS(C4:C281,$B$4:$B$281,"ปริญญาตรี",$A$4:$A$281,"รวมทั้งวิทยาเขตบางแสน"))</f>
        <v>61613</v>
      </c>
      <c r="D282" s="56">
        <f>SUM(SUMIFS(D4:D281,$B$4:$B$281,"ปริญญาตรี",$A$4:$A$281,"รวมทั้งวิทยาเขตสระแก้ว"),
     SUMIFS(D4:D281,$B$4:$B$281,"ปริญญาตรี",$A$4:$A$281,"รวมทั้งวิทยาเขตจันทบุรี"),
     SUMIFS(D4:D281,$B$4:$B$281,"ปริญญาตรี",$A$4:$A$281,"รวมทั้งวิทยาเขตบางแสน"))</f>
        <v>3422.97</v>
      </c>
      <c r="E282" s="56"/>
      <c r="F282" s="57">
        <f>ROUND(SUM(D282,E283:E285),2)</f>
        <v>4504.42</v>
      </c>
      <c r="G282" s="132">
        <f>SUM(SUMIFS(G4:G281,$B$4:$B$281,"ปริญญาตรี",$A$4:$A$281,"รวมทั้งวิทยาเขตสระแก้ว"),
     SUMIFS(G4:G281,$B$4:$B$281,"ปริญญาตรี",$A$4:$A$281,"รวมทั้งวิทยาเขตจันทบุรี"),
     SUMIFS(G4:G281,$B$4:$B$281,"ปริญญาตรี",$A$4:$A$281,"รวมทั้งวิทยาเขตบางแสน"))</f>
        <v>55137</v>
      </c>
      <c r="H282" s="56">
        <f>SUM(SUMIFS(H4:H281,$B$4:$B$281,"ปริญญาตรี",$A$4:$A$281,"รวมทั้งวิทยาเขตสระแก้ว"),
     SUMIFS(H4:H281,$B$4:$B$281,"ปริญญาตรี",$A$4:$A$281,"รวมทั้งวิทยาเขตจันทบุรี"),
     SUMIFS(H4:H281,$B$4:$B$281,"ปริญญาตรี",$A$4:$A$281,"รวมทั้งวิทยาเขตบางแสน"))</f>
        <v>3063.14</v>
      </c>
      <c r="I282" s="56"/>
      <c r="J282" s="57">
        <f>ROUND(SUM(H282,I283:I285),2)</f>
        <v>4101.4799999999996</v>
      </c>
      <c r="K282" s="132">
        <f>SUM(SUMIFS(K4:K281,$B$4:$B$281,"ปริญญาตรี",$A$4:$A$281,"รวมทั้งวิทยาเขตสระแก้ว"),
     SUMIFS(K4:K281,$B$4:$B$281,"ปริญญาตรี",$A$4:$A$281,"รวมทั้งวิทยาเขตจันทบุรี"),
     SUMIFS(K4:K281,$B$4:$B$281,"ปริญญาตรี",$A$4:$A$281,"รวมทั้งวิทยาเขตบางแสน"))</f>
        <v>8014</v>
      </c>
      <c r="L282" s="56">
        <f>SUM(SUMIFS(L4:L281,$B$4:$B$281,"ปริญญาตรี",$A$4:$A$281,"รวมทั้งวิทยาเขตสระแก้ว"),
     SUMIFS(L4:L281,$B$4:$B$281,"ปริญญาตรี",$A$4:$A$281,"รวมทั้งวิทยาเขตจันทบุรี"),
     SUMIFS(L4:L281,$B$4:$B$281,"ปริญญาตรี",$A$4:$A$281,"รวมทั้งวิทยาเขตบางแสน"))</f>
        <v>445.23</v>
      </c>
      <c r="M282" s="56"/>
      <c r="N282" s="57">
        <f>ROUND(SUM(L282,M283:M285),2)</f>
        <v>676.37</v>
      </c>
      <c r="O282" s="132">
        <f>SUM(SUMIFS(O4:O281,$B$4:$B$281,"ปริญญาตรี",$A$4:$A$281,"รวมทั้งวิทยาเขตสระแก้ว"),
     SUMIFS(O4:O281,$B$4:$B$281,"ปริญญาตรี",$A$4:$A$281,"รวมทั้งวิทยาเขตจันทบุรี"),
     SUMIFS(O4:O281,$B$4:$B$281,"ปริญญาตรี",$A$4:$A$281,"รวมทั้งวิทยาเขตบางแสน"))</f>
        <v>124764</v>
      </c>
      <c r="P282" s="56">
        <f>SUM(SUMIFS(P4:P281,$B$4:$B$281,"ปริญญาตรี",$A$4:$A$281,"รวมทั้งวิทยาเขตสระแก้ว"),
     SUMIFS(P4:P281,$B$4:$B$281,"ปริญญาตรี",$A$4:$A$281,"รวมทั้งวิทยาเขตจันทบุรี"),
     SUMIFS(P4:P281,$B$4:$B$281,"ปริญญาตรี",$A$4:$A$281,"รวมทั้งวิทยาเขตบางแสน"))</f>
        <v>3465.65</v>
      </c>
      <c r="Q282" s="56"/>
      <c r="R282" s="57">
        <f>ROUND(SUM(P282,Q283:Q285),2)</f>
        <v>4641.18</v>
      </c>
    </row>
    <row r="283" spans="1:26" ht="18.75" customHeight="1" x14ac:dyDescent="0.35">
      <c r="A283" s="169" t="s">
        <v>92</v>
      </c>
      <c r="B283" s="160" t="s">
        <v>64</v>
      </c>
      <c r="C283" s="133">
        <f>SUM(SUMIFS(C4:C281,$B$4:$B$281,"ป.บัณฑิต",$A$4:$A$281,"รวมทั้งวิทยาเขตสระแก้ว"),
     SUMIFS(C4:C281,$B$4:$B$281,"ป.บัณฑิต",$A$4:$A$281,"รวมทั้งวิทยาเขตจันทบุรี"),
     SUMIFS(C4:C281,$B$4:$B$281,"ป.บัณฑิต",$A$4:$A$281,"รวมทั้งวิทยาเขตบางแสน"))</f>
        <v>0</v>
      </c>
      <c r="D283" s="56">
        <f>SUM(SUMIFS(D4:D281,$B$4:$B$281,"ป.บัณฑิต",$A$4:$A$281,"รวมทั้งวิทยาเขตสระแก้ว"),
     SUMIFS(D4:D281,$B$4:$B$281,"ป.บัณฑิต",$A$4:$A$281,"รวมทั้งวิทยาเขตจันทบุรี"),
     SUMIFS(D4:D281,$B$4:$B$281,"ป.บัณฑิต",$A$4:$A$281,"รวมทั้งวิทยาเขตบางแสน"))</f>
        <v>0</v>
      </c>
      <c r="E283" s="56">
        <f>SUM(SUMIFS(E4:E281,$B$4:$B$281,"ป.บัณฑิต",$A$4:$A$281,"รวมทั้งวิทยาเขตสระแก้ว"),
     SUMIFS(E4:E281,$B$4:$B$281,"ป.บัณฑิต",$A$4:$A$281,"รวมทั้งวิทยาเขตจันทบุรี"),
     SUMIFS(E4:E281,$B$4:$B$281,"ป.บัณฑิต",$A$4:$A$281,"รวมทั้งวิทยาเขตบางแสน"))</f>
        <v>0</v>
      </c>
      <c r="F283" s="59"/>
      <c r="G283" s="133">
        <f>SUM(SUMIFS(G4:G281,$B$4:$B$281,"ป.บัณฑิต",$A$4:$A$281,"รวมทั้งวิทยาเขตสระแก้ว"),
     SUMIFS(G4:G281,$B$4:$B$281,"ป.บัณฑิต",$A$4:$A$281,"รวมทั้งวิทยาเขตจันทบุรี"),
     SUMIFS(G4:G281,$B$4:$B$281,"ป.บัณฑิต",$A$4:$A$281,"รวมทั้งวิทยาเขตบางแสน"))</f>
        <v>672</v>
      </c>
      <c r="H283" s="56">
        <f>SUM(SUMIFS(H4:H281,$B$4:$B$281,"ป.บัณฑิต",$A$4:$A$281,"รวมทั้งวิทยาเขตสระแก้ว"),
     SUMIFS(H4:H281,$B$4:$B$281,"ป.บัณฑิต",$A$4:$A$281,"รวมทั้งวิทยาเขตจันทบุรี"),
     SUMIFS(H4:H281,$B$4:$B$281,"ป.บัณฑิต",$A$4:$A$281,"รวมทั้งวิทยาเขตบางแสน"))</f>
        <v>56</v>
      </c>
      <c r="I283" s="56">
        <f>SUM(SUMIFS(I4:I281,$B$4:$B$281,"ป.บัณฑิต",$A$4:$A$281,"รวมทั้งวิทยาเขตสระแก้ว"),
     SUMIFS(I4:I281,$B$4:$B$281,"ป.บัณฑิต",$A$4:$A$281,"รวมทั้งวิทยาเขตจันทบุรี"),
     SUMIFS(I4:I281,$B$4:$B$281,"ป.บัณฑิต",$A$4:$A$281,"รวมทั้งวิทยาเขตบางแสน"))</f>
        <v>84</v>
      </c>
      <c r="J283" s="59"/>
      <c r="K283" s="133">
        <f>SUM(SUMIFS(K4:K281,$B$4:$B$281,"ป.บัณฑิต",$A$4:$A$281,"รวมทั้งวิทยาเขตสระแก้ว"),
     SUMIFS(K4:K281,$B$4:$B$281,"ป.บัณฑิต",$A$4:$A$281,"รวมทั้งวิทยาเขตจันทบุรี"),
     SUMIFS(K4:K281,$B$4:$B$281,"ป.บัณฑิต",$A$4:$A$281,"รวมทั้งวิทยาเขตบางแสน"))</f>
        <v>416</v>
      </c>
      <c r="L283" s="56">
        <f>SUM(SUMIFS(L4:L281,$B$4:$B$281,"ป.บัณฑิต",$A$4:$A$281,"รวมทั้งวิทยาเขตสระแก้ว"),
     SUMIFS(L4:L281,$B$4:$B$281,"ป.บัณฑิต",$A$4:$A$281,"รวมทั้งวิทยาเขตจันทบุรี"),
     SUMIFS(L4:L281,$B$4:$B$281,"ป.บัณฑิต",$A$4:$A$281,"รวมทั้งวิทยาเขตบางแสน"))</f>
        <v>34.67</v>
      </c>
      <c r="M283" s="56">
        <f>SUM(SUMIFS(M4:M281,$B$4:$B$281,"ป.บัณฑิต",$A$4:$A$281,"รวมทั้งวิทยาเขตสระแก้ว"),
     SUMIFS(M4:M281,$B$4:$B$281,"ป.บัณฑิต",$A$4:$A$281,"รวมทั้งวิทยาเขตจันทบุรี"),
     SUMIFS(M4:M281,$B$4:$B$281,"ป.บัณฑิต",$A$4:$A$281,"รวมทั้งวิทยาเขตบางแสน"))</f>
        <v>52.005000000000003</v>
      </c>
      <c r="N283" s="59"/>
      <c r="O283" s="133">
        <f>SUM(SUMIFS(O4:O281,$B$4:$B$281,"ป.บัณฑิต",$A$4:$A$281,"รวมทั้งวิทยาเขตสระแก้ว"),
     SUMIFS(O4:O281,$B$4:$B$281,"ป.บัณฑิต",$A$4:$A$281,"รวมทั้งวิทยาเขตจันทบุรี"),
     SUMIFS(O4:O281,$B$4:$B$281,"ป.บัณฑิต",$A$4:$A$281,"รวมทั้งวิทยาเขตบางแสน"))</f>
        <v>1088</v>
      </c>
      <c r="P283" s="56">
        <f>SUM(SUMIFS(P4:P281,$B$4:$B$281,"ป.บัณฑิต",$A$4:$A$281,"รวมทั้งวิทยาเขตสระแก้ว"),
     SUMIFS(P4:P281,$B$4:$B$281,"ป.บัณฑิต",$A$4:$A$281,"รวมทั้งวิทยาเขตจันทบุรี"),
     SUMIFS(P4:P281,$B$4:$B$281,"ป.บัณฑิต",$A$4:$A$281,"รวมทั้งวิทยาเขตบางแสน"))</f>
        <v>45.33</v>
      </c>
      <c r="Q283" s="56">
        <f>SUM(SUMIFS(Q4:Q281,$B$4:$B$281,"ป.บัณฑิต",$A$4:$A$281,"รวมทั้งวิทยาเขตสระแก้ว"),
     SUMIFS(Q4:Q281,$B$4:$B$281,"ป.บัณฑิต",$A$4:$A$281,"รวมทั้งวิทยาเขตจันทบุรี"),
     SUMIFS(Q4:Q281,$B$4:$B$281,"ป.บัณฑิต",$A$4:$A$281,"รวมทั้งวิทยาเขตบางแสน"))</f>
        <v>67.995000000000005</v>
      </c>
      <c r="R283" s="59"/>
    </row>
    <row r="284" spans="1:26" ht="18.75" customHeight="1" x14ac:dyDescent="0.35">
      <c r="A284" s="169" t="s">
        <v>92</v>
      </c>
      <c r="B284" s="160" t="s">
        <v>9</v>
      </c>
      <c r="C284" s="134">
        <f>SUM(SUMIFS(C4:C281,$B$4:$B$281,"ปริญญาโท",$A$4:$A$281,"รวมทั้งวิทยาเขตสระแก้ว"),
     SUMIFS(C4:C281,$B$4:$B$281,"ปริญญาโท",$A$4:$A$281,"รวมทั้งวิทยาเขตจันทบุรี"),
     SUMIFS(C4:C281,$B$4:$B$281,"ปริญญาโท",$A$4:$A$281,"รวมทั้งวิทยาเขตบางแสน"))</f>
        <v>8243</v>
      </c>
      <c r="D284" s="58">
        <f>SUM(SUMIFS(D4:D281,$B$4:$B$281,"ปริญญาโท",$A$4:$A$281,"รวมทั้งวิทยาเขตสระแก้ว"),
     SUMIFS(D4:D281,$B$4:$B$281,"ปริญญาโท",$A$4:$A$281,"รวมทั้งวิทยาเขตจันทบุรี"),
     SUMIFS(D4:D281,$B$4:$B$281,"ปริญญาโท",$A$4:$A$281,"รวมทั้งวิทยาเขตบางแสน"))</f>
        <v>686.92000000000007</v>
      </c>
      <c r="E284" s="58">
        <f>SUM(SUMIFS(E4:E281,$B$4:$B$281,"ปริญญาโท",$A$4:$A$281,"รวมทั้งวิทยาเขตสระแก้ว"),
     SUMIFS(E4:E281,$B$4:$B$281,"ปริญญาโท",$A$4:$A$281,"รวมทั้งวิทยาเขตจันทบุรี"),
     SUMIFS(E4:E281,$B$4:$B$281,"ปริญญาโท",$A$4:$A$281,"รวมทั้งวิทยาเขตบางแสน"))</f>
        <v>1056.4760000000001</v>
      </c>
      <c r="F284" s="59"/>
      <c r="G284" s="134">
        <f>SUM(SUMIFS(G4:G281,$B$4:$B$281,"ปริญญาโท",$A$4:$A$281,"รวมทั้งวิทยาเขตสระแก้ว"),
     SUMIFS(G4:G281,$B$4:$B$281,"ปริญญาโท",$A$4:$A$281,"รวมทั้งวิทยาเขตจันทบุรี"),
     SUMIFS(G4:G281,$B$4:$B$281,"ปริญญาโท",$A$4:$A$281,"รวมทั้งวิทยาเขตบางแสน"))</f>
        <v>7238</v>
      </c>
      <c r="H284" s="58">
        <f>SUM(SUMIFS(H4:H281,$B$4:$B$281,"ปริญญาโท",$A$4:$A$281,"รวมทั้งวิทยาเขตสระแก้ว"),
     SUMIFS(H4:H281,$B$4:$B$281,"ปริญญาโท",$A$4:$A$281,"รวมทั้งวิทยาเขตจันทบุรี"),
     SUMIFS(H4:H281,$B$4:$B$281,"ปริญญาโท",$A$4:$A$281,"รวมทั้งวิทยาเขตบางแสน"))</f>
        <v>603.16000000000008</v>
      </c>
      <c r="I284" s="58">
        <f>SUM(SUMIFS(I4:I281,$B$4:$B$281,"ปริญญาโท",$A$4:$A$281,"รวมทั้งวิทยาเขตสระแก้ว"),
     SUMIFS(I4:I281,$B$4:$B$281,"ปริญญาโท",$A$4:$A$281,"รวมทั้งวิทยาเขตจันทบุรี"),
     SUMIFS(I4:I281,$B$4:$B$281,"ปริญญาโท",$A$4:$A$281,"รวมทั้งวิทยาเขตบางแสน"))</f>
        <v>927.48500000000013</v>
      </c>
      <c r="J284" s="59"/>
      <c r="K284" s="134">
        <f>SUM(SUMIFS(K4:K281,$B$4:$B$281,"ปริญญาโท",$A$4:$A$281,"รวมทั้งวิทยาเขตสระแก้ว"),
     SUMIFS(K4:K281,$B$4:$B$281,"ปริญญาโท",$A$4:$A$281,"รวมทั้งวิทยาเขตจันทบุรี"),
     SUMIFS(K4:K281,$B$4:$B$281,"ปริญญาโท",$A$4:$A$281,"รวมทั้งวิทยาเขตบางแสน"))</f>
        <v>1317</v>
      </c>
      <c r="L284" s="58">
        <f>SUM(SUMIFS(L4:L281,$B$4:$B$281,"ปริญญาโท",$A$4:$A$281,"รวมทั้งวิทยาเขตสระแก้ว"),
     SUMIFS(L4:L281,$B$4:$B$281,"ปริญญาโท",$A$4:$A$281,"รวมทั้งวิทยาเขตจันทบุรี"),
     SUMIFS(L4:L281,$B$4:$B$281,"ปริญญาโท",$A$4:$A$281,"รวมทั้งวิทยาเขตบางแสน"))</f>
        <v>109.74</v>
      </c>
      <c r="M284" s="58">
        <f>SUM(SUMIFS(M4:M281,$B$4:$B$281,"ปริญญาโท",$A$4:$A$281,"รวมทั้งวิทยาเขตสระแก้ว"),
     SUMIFS(M4:M281,$B$4:$B$281,"ปริญญาโท",$A$4:$A$281,"รวมทั้งวิทยาเขตจันทบุรี"),
     SUMIFS(M4:M281,$B$4:$B$281,"ปริญญาโท",$A$4:$A$281,"รวมทั้งวิทยาเขตบางแสน"))</f>
        <v>166.52999999999997</v>
      </c>
      <c r="N284" s="59"/>
      <c r="O284" s="134">
        <f>SUM(SUMIFS(O4:O281,$B$4:$B$281,"ปริญญาโท",$A$4:$A$281,"รวมทั้งวิทยาเขตสระแก้ว"),
     SUMIFS(O4:O281,$B$4:$B$281,"ปริญญาโท",$A$4:$A$281,"รวมทั้งวิทยาเขตจันทบุรี"),
     SUMIFS(O4:O281,$B$4:$B$281,"ปริญญาโท",$A$4:$A$281,"รวมทั้งวิทยาเขตบางแสน"))</f>
        <v>16798</v>
      </c>
      <c r="P284" s="58">
        <f>SUM(SUMIFS(P4:P281,$B$4:$B$281,"ปริญญาโท",$A$4:$A$281,"รวมทั้งวิทยาเขตสระแก้ว"),
     SUMIFS(P4:P281,$B$4:$B$281,"ปริญญาโท",$A$4:$A$281,"รวมทั้งวิทยาเขตจันทบุรี"),
     SUMIFS(P4:P281,$B$4:$B$281,"ปริญญาโท",$A$4:$A$281,"รวมทั้งวิทยาเขตบางแสน"))</f>
        <v>699.94999999999993</v>
      </c>
      <c r="Q284" s="58">
        <f>SUM(SUMIFS(Q4:Q281,$B$4:$B$281,"ปริญญาโท",$A$4:$A$281,"รวมทั้งวิทยาเขตสระแก้ว"),
     SUMIFS(Q4:Q281,$B$4:$B$281,"ปริญญาโท",$A$4:$A$281,"รวมทั้งวิทยาเขตจันทบุรี"),
     SUMIFS(Q4:Q281,$B$4:$B$281,"ปริญญาโท",$A$4:$A$281,"รวมทั้งวิทยาเขตบางแสน"))</f>
        <v>1075.3070000000002</v>
      </c>
      <c r="R284" s="59"/>
    </row>
    <row r="285" spans="1:26" ht="18.75" customHeight="1" thickBot="1" x14ac:dyDescent="0.4">
      <c r="A285" s="170" t="s">
        <v>92</v>
      </c>
      <c r="B285" s="161" t="s">
        <v>10</v>
      </c>
      <c r="C285" s="135">
        <f>SUM(SUMIFS(C4:C281,$B$4:$B$281,"ปริญญาเอก",$A$4:$A$281,"รวมทั้งวิทยาเขตสระแก้ว"),
     SUMIFS(C4:C281,$B$4:$B$281,"ปริญญาเอก",$A$4:$A$281,"รวมทั้งวิทยาเขตจันทบุรี"),
     SUMIFS(C4:C281,$B$4:$B$281,"ปริญญาเอก",$A$4:$A$281,"รวมทั้งวิทยาเขตบางแสน"))</f>
        <v>168</v>
      </c>
      <c r="D285" s="60">
        <f>SUM(SUMIFS(D4:D281,$B$4:$B$281,"ปริญญาเอก",$A$4:$A$281,"รวมทั้งวิทยาเขตสระแก้ว"),
     SUMIFS(D4:D281,$B$4:$B$281,"ปริญญาเอก",$A$4:$A$281,"รวมทั้งวิทยาเขตจันทบุรี"),
     SUMIFS(D4:D281,$B$4:$B$281,"ปริญญาเอก",$A$4:$A$281,"รวมทั้งวิทยาเขตบางแสน"))</f>
        <v>14</v>
      </c>
      <c r="E285" s="60">
        <f>SUM(SUMIFS(E4:E281,$B$4:$B$281,"ปริญญาเอก",$A$4:$A$281,"รวมทั้งวิทยาเขตสระแก้ว"),
     SUMIFS(E4:E281,$B$4:$B$281,"ปริญญาเอก",$A$4:$A$281,"รวมทั้งวิทยาเขตจันทบุรี"),
     SUMIFS(E4:E281,$B$4:$B$281,"ปริญญาเอก",$A$4:$A$281,"รวมทั้งวิทยาเขตบางแสน"))</f>
        <v>24.975000000000001</v>
      </c>
      <c r="F285" s="61"/>
      <c r="G285" s="135">
        <f>SUM(SUMIFS(G4:G281,$B$4:$B$281,"ปริญญาเอก",$A$4:$A$281,"รวมทั้งวิทยาเขตสระแก้ว"),
     SUMIFS(G4:G281,$B$4:$B$281,"ปริญญาเอก",$A$4:$A$281,"รวมทั้งวิทยาเขตจันทบุรี"),
     SUMIFS(G4:G281,$B$4:$B$281,"ปริญญาเอก",$A$4:$A$281,"รวมทั้งวิทยาเขตบางแสน"))</f>
        <v>180</v>
      </c>
      <c r="H285" s="60">
        <f>SUM(SUMIFS(H4:H281,$B$4:$B$281,"ปริญญาเอก",$A$4:$A$281,"รวมทั้งวิทยาเขตสระแก้ว"),
     SUMIFS(H4:H281,$B$4:$B$281,"ปริญญาเอก",$A$4:$A$281,"รวมทั้งวิทยาเขตจันทบุรี"),
     SUMIFS(H4:H281,$B$4:$B$281,"ปริญญาเอก",$A$4:$A$281,"รวมทั้งวิทยาเขตบางแสน"))</f>
        <v>15</v>
      </c>
      <c r="I285" s="60">
        <f>SUM(SUMIFS(I4:I281,$B$4:$B$281,"ปริญญาเอก",$A$4:$A$281,"รวมทั้งวิทยาเขตสระแก้ว"),
     SUMIFS(I4:I281,$B$4:$B$281,"ปริญญาเอก",$A$4:$A$281,"รวมทั้งวิทยาเขตจันทบุรี"),
     SUMIFS(I4:I281,$B$4:$B$281,"ปริญญาเอก",$A$4:$A$281,"รวมทั้งวิทยาเขตบางแสน"))</f>
        <v>26.85</v>
      </c>
      <c r="J285" s="61"/>
      <c r="K285" s="135">
        <f>SUM(SUMIFS(K4:K281,$B$4:$B$281,"ปริญญาเอก",$A$4:$A$281,"รวมทั้งวิทยาเขตสระแก้ว"),
     SUMIFS(K4:K281,$B$4:$B$281,"ปริญญาเอก",$A$4:$A$281,"รวมทั้งวิทยาเขตจันทบุรี"),
     SUMIFS(K4:K281,$B$4:$B$281,"ปริญญาเอก",$A$4:$A$281,"รวมทั้งวิทยาเขตบางแสน"))</f>
        <v>84</v>
      </c>
      <c r="L285" s="60">
        <f>SUM(SUMIFS(L4:L281,$B$4:$B$281,"ปริญญาเอก",$A$4:$A$281,"รวมทั้งวิทยาเขตสระแก้ว"),
     SUMIFS(L4:L281,$B$4:$B$281,"ปริญญาเอก",$A$4:$A$281,"รวมทั้งวิทยาเขตจันทบุรี"),
     SUMIFS(L4:L281,$B$4:$B$281,"ปริญญาเอก",$A$4:$A$281,"รวมทั้งวิทยาเขตบางแสน"))</f>
        <v>7</v>
      </c>
      <c r="M285" s="60">
        <f>SUM(SUMIFS(M4:M281,$B$4:$B$281,"ปริญญาเอก",$A$4:$A$281,"รวมทั้งวิทยาเขตสระแก้ว"),
     SUMIFS(M4:M281,$B$4:$B$281,"ปริญญาเอก",$A$4:$A$281,"รวมทั้งวิทยาเขตจันทบุรี"),
     SUMIFS(M4:M281,$B$4:$B$281,"ปริญญาเอก",$A$4:$A$281,"รวมทั้งวิทยาเขตบางแสน"))</f>
        <v>12.6</v>
      </c>
      <c r="N285" s="61"/>
      <c r="O285" s="135">
        <f>SUM(SUMIFS(O4:O281,$B$4:$B$281,"ปริญญาเอก",$A$4:$A$281,"รวมทั้งวิทยาเขตสระแก้ว"),
     SUMIFS(O4:O281,$B$4:$B$281,"ปริญญาเอก",$A$4:$A$281,"รวมทั้งวิทยาเขตจันทบุรี"),
     SUMIFS(O4:O281,$B$4:$B$281,"ปริญญาเอก",$A$4:$A$281,"รวมทั้งวิทยาเขตบางแสน"))</f>
        <v>432</v>
      </c>
      <c r="P285" s="60">
        <f>SUM(SUMIFS(P4:P281,$B$4:$B$281,"ปริญญาเอก",$A$4:$A$281,"รวมทั้งวิทยาเขตสระแก้ว"),
     SUMIFS(P4:P281,$B$4:$B$281,"ปริญญาเอก",$A$4:$A$281,"รวมทั้งวิทยาเขตจันทบุรี"),
     SUMIFS(P4:P281,$B$4:$B$281,"ปริญญาเอก",$A$4:$A$281,"รวมทั้งวิทยาเขตบางแสน"))</f>
        <v>18.010000000000002</v>
      </c>
      <c r="Q285" s="60">
        <f>SUM(SUMIFS(Q4:Q281,$B$4:$B$281,"ปริญญาเอก",$A$4:$A$281,"รวมทั้งวิทยาเขตสระแก้ว"),
     SUMIFS(Q4:Q281,$B$4:$B$281,"ปริญญาเอก",$A$4:$A$281,"รวมทั้งวิทยาเขตจันทบุรี"),
     SUMIFS(Q4:Q281,$B$4:$B$281,"ปริญญาเอก",$A$4:$A$281,"รวมทั้งวิทยาเขตบางแสน"))</f>
        <v>32.228999999999999</v>
      </c>
      <c r="R285" s="61"/>
    </row>
  </sheetData>
  <mergeCells count="6">
    <mergeCell ref="G2:J2"/>
    <mergeCell ref="K2:N2"/>
    <mergeCell ref="O2:R2"/>
    <mergeCell ref="A2:A3"/>
    <mergeCell ref="B2:B3"/>
    <mergeCell ref="C2:F2"/>
  </mergeCells>
  <conditionalFormatting sqref="B269">
    <cfRule type="expression" dxfId="18" priority="16">
      <formula>INT(B269)=B269</formula>
    </cfRule>
  </conditionalFormatting>
  <conditionalFormatting sqref="C255:C265">
    <cfRule type="expression" dxfId="17" priority="7">
      <formula>INT(C255)=C255</formula>
    </cfRule>
  </conditionalFormatting>
  <conditionalFormatting sqref="C272:C278">
    <cfRule type="expression" dxfId="16" priority="5">
      <formula>INT(C272)=C272</formula>
    </cfRule>
  </conditionalFormatting>
  <conditionalFormatting sqref="C4:R285">
    <cfRule type="expression" dxfId="15" priority="1">
      <formula>ABS(C4-INT(C4))&lt;0.01</formula>
    </cfRule>
  </conditionalFormatting>
  <conditionalFormatting sqref="G1">
    <cfRule type="expression" dxfId="14" priority="19">
      <formula>$G$1="ปิด"</formula>
    </cfRule>
  </conditionalFormatting>
  <conditionalFormatting sqref="I1:K1">
    <cfRule type="expression" dxfId="13" priority="21">
      <formula>$G$1="เปิด"</formula>
    </cfRule>
    <cfRule type="expression" dxfId="12" priority="21">
      <formula>OR($G$1="ปิด", $G$1="")</formula>
    </cfRule>
  </conditionalFormatting>
  <dataValidations disablePrompts="1" count="1">
    <dataValidation type="list" allowBlank="1" showInputMessage="1" showErrorMessage="1" sqref="G1" xr:uid="{FFB3C334-E170-472F-AE14-E8A64E3654DF}">
      <formula1>"เปิด, ปิด"</formula1>
    </dataValidation>
  </dataValidations>
  <printOptions horizontalCentered="1"/>
  <pageMargins left="0.19685039370078741" right="0.19685039370078741" top="0.31496062992125984" bottom="0.34" header="0" footer="0"/>
  <pageSetup paperSize="9" scale="70" orientation="landscape" r:id="rId1"/>
  <headerFooter>
    <oddFooter>&amp;CPage &amp;P of</oddFooter>
  </headerFooter>
  <ignoredErrors>
    <ignoredError sqref="P17:R17 P46:Q46 P44:R44 P20:R20 P18:Q18 P19:Q19 P23:R23 P21:Q21 P22:Q22 P26:R26 P24:Q24 P25:Q25 P29:R29 P27:Q27 P28:Q28 P32:R32 P30:Q30 P31:Q31 P35:R35 P33:Q33 P34:Q34 P38:R38 P36:Q36 P37:Q37 P41:R41 P39:Q39 P40:Q40 P43:Q43 P42:Q42 P45:Q4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1"/>
  <dimension ref="A1:G53"/>
  <sheetViews>
    <sheetView showGridLines="0" zoomScaleNormal="100" workbookViewId="0">
      <pane ySplit="2" topLeftCell="A3" activePane="bottomLeft" state="frozen"/>
      <selection activeCell="A20" sqref="A20"/>
      <selection pane="bottomLeft" activeCell="A3" sqref="A3"/>
    </sheetView>
  </sheetViews>
  <sheetFormatPr defaultColWidth="12.625" defaultRowHeight="15" customHeight="1" x14ac:dyDescent="0.25"/>
  <cols>
    <col min="1" max="1" width="30.375" style="2" customWidth="1"/>
    <col min="2" max="2" width="13.875" style="2" customWidth="1"/>
    <col min="3" max="7" width="10.125" style="2" customWidth="1"/>
    <col min="8" max="16384" width="12.625" style="2"/>
  </cols>
  <sheetData>
    <row r="1" spans="1:7" ht="21" customHeight="1" x14ac:dyDescent="0.35">
      <c r="A1" s="10" t="s">
        <v>116</v>
      </c>
      <c r="B1" s="3"/>
      <c r="C1" s="4"/>
      <c r="D1" s="4"/>
      <c r="E1" s="4"/>
      <c r="F1" s="4"/>
      <c r="G1" s="111"/>
    </row>
    <row r="2" spans="1:7" ht="21" customHeight="1" x14ac:dyDescent="0.25">
      <c r="A2" s="17" t="s">
        <v>93</v>
      </c>
      <c r="B2" s="18" t="s">
        <v>94</v>
      </c>
      <c r="C2" s="193" t="s">
        <v>119</v>
      </c>
      <c r="D2" s="194" t="s">
        <v>101</v>
      </c>
      <c r="E2" s="193" t="s">
        <v>104</v>
      </c>
      <c r="F2" s="18" t="s">
        <v>95</v>
      </c>
      <c r="G2" s="18" t="s">
        <v>96</v>
      </c>
    </row>
    <row r="3" spans="1:7" ht="21" customHeight="1" x14ac:dyDescent="0.35">
      <c r="A3" s="5" t="str">
        <f>HYPERLINK(IF($G$1="เปิด", "#ปกติ!A" &amp; MATCH("คณะดนตรีและการแสดง", ปกติ!A:A, 0), ""), IF($G$1="เปิด", "คณะดนตรีและการแสดง (ไปชีทปกติ)", "คณะดนตรีและการแสดง"))</f>
        <v>คณะดนตรีและการแสดง</v>
      </c>
      <c r="B3" s="5" t="s">
        <v>8</v>
      </c>
      <c r="C3" s="121">
        <f>HYPERLINK(IF($G$1="เปิด", "#'ปกติ'!" &amp; ADDRESS(ROW(ปกติ!D5), COLUMN(ปกติ!D5), 4), ""), ปกติ!D5)</f>
        <v>568.22</v>
      </c>
      <c r="D3" s="121">
        <f>HYPERLINK(IF($G$1="เปิด", "#'ปกติ'!" &amp; ADDRESS(ROW(ปกติ!H5), COLUMN(ปกติ!H5), 4), ""), ปกติ!H5)</f>
        <v>449</v>
      </c>
      <c r="E3" s="121">
        <f>HYPERLINK(IF($G$1="เปิด", "#'ปกติ'!" &amp; ADDRESS(ROW(ปกติ!L5), COLUMN(ปกติ!L5), 4), ""), ปกติ!L5)</f>
        <v>0.5</v>
      </c>
      <c r="F3" s="183">
        <f>HYPERLINK(IF($G$1="เปิด", "#'ปกติ'!" &amp; ADDRESS(ROW(ปกติ!P5), COLUMN(ปกติ!P5), 4), ""), ปกติ!P5)</f>
        <v>508.86</v>
      </c>
      <c r="G3" s="221">
        <f>SUM(F3:F4)</f>
        <v>513.81000000000006</v>
      </c>
    </row>
    <row r="4" spans="1:7" ht="21" customHeight="1" x14ac:dyDescent="0.35">
      <c r="A4" s="192" t="str">
        <f>HYPERLINK(IF('รวมปกติ+พิเศษ'!$L$1="เปิด", "#'รวมปกติ+พิเศษ'!A" &amp; MATCH("คณะดนตรีและการแสดง", 'รวมปกติ+พิเศษ'!A:A, 0), "#A"&amp;ROW()), IF('รวมปกติ+พิเศษ'!$L$1="เปิด", "กลับรวมปกติ+พิเศษ", ""))</f>
        <v/>
      </c>
      <c r="B4" s="191" t="s">
        <v>97</v>
      </c>
      <c r="C4" s="218">
        <f>HYPERLINK(IF($G$1="เปิด", "#'ปกติ'!" &amp; ADDRESS(ROW(ปกติ!E6), COLUMN(ปกติ!E6), 4) &amp; ":" &amp; ADDRESS(ROW(ปกติ!E7), COLUMN(ปกติ!E7), 4), ""), SUM(ปกติ!E6:E7))</f>
        <v>4.95</v>
      </c>
      <c r="D4" s="218">
        <f>HYPERLINK(IF($G$1="เปิด", "#'ปกติ'!" &amp; ADDRESS(ROW(ปกติ!I6), COLUMN(ปกติ!I6), 4) &amp; ":" &amp; ADDRESS(ROW(ปกติ!I7), COLUMN(ปกติ!I7), 4), ""), SUM(ปกติ!I6:I7))</f>
        <v>4.95</v>
      </c>
      <c r="E4" s="278">
        <f>HYPERLINK(IF($G$1="เปิด", "#'ปกติ'!" &amp; ADDRESS(ROW(ปกติ!M6), COLUMN(ปกติ!M6), 4) &amp; ":" &amp; ADDRESS(ROW(ปกติ!M7), COLUMN(ปกติ!M7), 4), ""), SUM(ปกติ!M6:M7))</f>
        <v>0</v>
      </c>
      <c r="F4" s="219">
        <f>HYPERLINK(IF($G$1="เปิด", "#'ปกติ'!" &amp; ADDRESS(ROW(ปกติ!Q6), COLUMN(ปกติ!Q6), 4) &amp; ":" &amp; ADDRESS(ROW(ปกติ!Q7), COLUMN(ปกติ!Q7), 4), ""), SUM(ปกติ!Q6:Q7))</f>
        <v>4.95</v>
      </c>
      <c r="G4" s="220"/>
    </row>
    <row r="5" spans="1:7" ht="21" customHeight="1" x14ac:dyDescent="0.35">
      <c r="A5" s="5" t="str">
        <f>HYPERLINK(IF($G$1="เปิด", "#ปกติ!A" &amp; MATCH("คณะบริหารธุรกิจ", ปกติ!A:A, 0), ""), IF($G$1="เปิด", "คณะบริหารธุรกิจ (ไปชีทปกติ)", "คณะบริหารธุรกิจ"))</f>
        <v>คณะบริหารธุรกิจ</v>
      </c>
      <c r="B5" s="5" t="s">
        <v>8</v>
      </c>
      <c r="C5" s="121">
        <f>HYPERLINK(IF($G$1="เปิด", "#'ปกติ'!" &amp; ADDRESS(ROW(ปกติ!D9), COLUMN(ปกติ!D9), 4), ""), ปกติ!D9)</f>
        <v>515.22</v>
      </c>
      <c r="D5" s="121">
        <f>HYPERLINK(IF($G$1="เปิด", "#'ปกติ'!" &amp; ADDRESS(ROW(ปกติ!H9), COLUMN(ปกติ!H9), 4), ""), ปกติ!H9)</f>
        <v>468.28</v>
      </c>
      <c r="E5" s="121">
        <f>HYPERLINK(IF($G$1="เปิด", "#'ปกติ'!" &amp; ADDRESS(ROW(ปกติ!L9), COLUMN(ปกติ!L9), 4), ""), ปกติ!L9)</f>
        <v>0</v>
      </c>
      <c r="F5" s="183">
        <f>HYPERLINK(IF($G$1="เปิด", "#'ปกติ'!" &amp; ADDRESS(ROW(ปกติ!P9), COLUMN(ปกติ!P9), 4), ""), ปกติ!P9)</f>
        <v>491.75</v>
      </c>
      <c r="G5" s="221">
        <f>SUM(F5:F6)</f>
        <v>491.75</v>
      </c>
    </row>
    <row r="6" spans="1:7" ht="21" customHeight="1" x14ac:dyDescent="0.35">
      <c r="A6" s="192" t="str">
        <f>HYPERLINK(IF('รวมปกติ+พิเศษ'!$L$1="เปิด", "#'รวมปกติ+พิเศษ'!A" &amp; MATCH("คณะบริหารธุรกิจ", 'รวมปกติ+พิเศษ'!A:A, 0), "#A"&amp;ROW()), IF('รวมปกติ+พิเศษ'!$L$1="เปิด", "กลับรวมปกติ+พิเศษ", ""))</f>
        <v/>
      </c>
      <c r="B6" s="191" t="s">
        <v>97</v>
      </c>
      <c r="C6" s="218">
        <f>HYPERLINK(IF($G$1="เปิด", "#'ปกติ'!" &amp; ADDRESS(ROW(ปกติ!E10), COLUMN(ปกติ!E10), 4) &amp; ":" &amp; ADDRESS(ROW(ปกติ!E11), COLUMN(ปกติ!E11), 4), ""), SUM(ปกติ!E10:E11))</f>
        <v>0</v>
      </c>
      <c r="D6" s="218">
        <f>HYPERLINK(IF($G$1="เปิด", "#'ปกติ'!" &amp; ADDRESS(ROW(ปกติ!I10), COLUMN(ปกติ!I10), 4) &amp; ":" &amp; ADDRESS(ROW(ปกติ!I11), COLUMN(ปกติ!I11), 4), ""), SUM(ปกติ!I10:I11))</f>
        <v>0</v>
      </c>
      <c r="E6" s="218">
        <f>HYPERLINK(IF($G$1="เปิด", "#'ปกติ'!" &amp; ADDRESS(ROW(ปกติ!M10), COLUMN(ปกติ!M10), 4) &amp; ":" &amp; ADDRESS(ROW(ปกติ!M11), COLUMN(ปกติ!M11), 4), ""), SUM(ปกติ!M10:M11))</f>
        <v>0</v>
      </c>
      <c r="F6" s="219">
        <f>HYPERLINK(IF($G$1="เปิด", "#'ปกติ'!" &amp; ADDRESS(ROW(ปกติ!Q10), COLUMN(ปกติ!Q10), 4) &amp; ":" &amp; ADDRESS(ROW(ปกติ!Q11), COLUMN(ปกติ!Q11), 4), ""), SUM(ปกติ!Q10:Q11))</f>
        <v>0</v>
      </c>
      <c r="G6" s="220"/>
    </row>
    <row r="7" spans="1:7" ht="21" customHeight="1" x14ac:dyDescent="0.35">
      <c r="A7" s="5" t="str">
        <f>HYPERLINK(IF($G$1="เปิด", "#ปกติ!A" &amp; MATCH("คณะพยาบาลศาสตร์", ปกติ!A:A, 0), ""), IF($G$1="เปิด", "คณะพยาบาลศาสตร์ (ไปชีทปกติ)", "คณะพยาบาลศาสตร์"))</f>
        <v>คณะพยาบาลศาสตร์</v>
      </c>
      <c r="B7" s="5" t="s">
        <v>8</v>
      </c>
      <c r="C7" s="121">
        <f>HYPERLINK(IF($G$1="เปิด", "#'ปกติ'!" &amp; ADDRESS(ROW(ปกติ!D13), COLUMN(ปกติ!D13), 4), ""), ปกติ!D13)</f>
        <v>538.83000000000004</v>
      </c>
      <c r="D7" s="121">
        <f>HYPERLINK(IF($G$1="เปิด", "#'ปกติ'!" &amp; ADDRESS(ROW(ปกติ!H13), COLUMN(ปกติ!H13), 4), ""), ปกติ!H13)</f>
        <v>449.56</v>
      </c>
      <c r="E7" s="121">
        <f>HYPERLINK(IF($G$1="เปิด", "#'ปกติ'!" &amp; ADDRESS(ROW(ปกติ!L13), COLUMN(ปกติ!L13), 4), ""), ปกติ!L13)</f>
        <v>2.11</v>
      </c>
      <c r="F7" s="183">
        <f>HYPERLINK(IF($G$1="เปิด", "#'ปกติ'!" &amp; ADDRESS(ROW(ปกติ!P13), COLUMN(ปกติ!P13), 4), ""), ปกติ!P13)</f>
        <v>495.25</v>
      </c>
      <c r="G7" s="221">
        <f>SUM(F7:F8)</f>
        <v>570.41999999999996</v>
      </c>
    </row>
    <row r="8" spans="1:7" ht="21" customHeight="1" x14ac:dyDescent="0.35">
      <c r="A8" s="192" t="str">
        <f>HYPERLINK(IF('รวมปกติ+พิเศษ'!$L$1="เปิด", "#'รวมปกติ+พิเศษ'!A" &amp; MATCH("คณะพยาบาลศาสตร์", 'รวมปกติ+พิเศษ'!A:A, 0), "#A"&amp;ROW()), IF('รวมปกติ+พิเศษ'!$L$1="เปิด", "กลับรวมปกติ+พิเศษ", ""))</f>
        <v/>
      </c>
      <c r="B8" s="191" t="s">
        <v>97</v>
      </c>
      <c r="C8" s="218">
        <f>HYPERLINK(IF($G$1="เปิด", "#'ปกติ'!" &amp; ADDRESS(ROW(ปกติ!E14), COLUMN(ปกติ!E14), 4) &amp; ":" &amp; ADDRESS(ROW(ปกติ!E15), COLUMN(ปกติ!E15), 4), ""), SUM(ปกติ!E14:E15))</f>
        <v>71.83</v>
      </c>
      <c r="D8" s="218">
        <f>HYPERLINK(IF($G$1="เปิด", "#'ปกติ'!" &amp; ADDRESS(ROW(ปกติ!I14), COLUMN(ปกติ!I14), 4) &amp; ":" &amp; ADDRESS(ROW(ปกติ!I15), COLUMN(ปกติ!I15), 4), ""), SUM(ปกติ!I14:I15))</f>
        <v>78.5</v>
      </c>
      <c r="E8" s="218">
        <f>HYPERLINK(IF($G$1="เปิด", "#'ปกติ'!" &amp; ADDRESS(ROW(ปกติ!M14), COLUMN(ปกติ!M14), 4) &amp; ":" &amp; ADDRESS(ROW(ปกติ!M15), COLUMN(ปกติ!M15), 4), ""), SUM(ปกติ!M14:M15))</f>
        <v>0</v>
      </c>
      <c r="F8" s="219">
        <f>HYPERLINK(IF($G$1="เปิด", "#'ปกติ'!" &amp; ADDRESS(ROW(ปกติ!Q14), COLUMN(ปกติ!Q14), 4) &amp; ":" &amp; ADDRESS(ROW(ปกติ!Q15), COLUMN(ปกติ!Q15), 4), ""), SUM(ปกติ!Q14:Q15))</f>
        <v>75.17</v>
      </c>
      <c r="G8" s="220"/>
    </row>
    <row r="9" spans="1:7" ht="21" customHeight="1" x14ac:dyDescent="0.35">
      <c r="A9" s="5" t="str">
        <f>HYPERLINK(IF($G$1="เปิด", "#ปกติ!A" &amp; MATCH("คณะแพทยศาสตร์", ปกติ!A:A, 0), ""), IF($G$1="เปิด", "คณะแพทยศาสตร์ (ไปชีทปกติ)", "คณะแพทยศาสตร์"))</f>
        <v>คณะแพทยศาสตร์</v>
      </c>
      <c r="B9" s="5" t="s">
        <v>8</v>
      </c>
      <c r="C9" s="121">
        <f>HYPERLINK(IF($G$1="เปิด", "#'ปกติ'!" &amp; ADDRESS(ROW(ปกติ!D44), COLUMN(ปกติ!D44), 4), ""), ปกติ!D44)</f>
        <v>491.89</v>
      </c>
      <c r="D9" s="121">
        <f>HYPERLINK(IF($G$1="เปิด", "#'ปกติ'!" &amp; ADDRESS(ROW(ปกติ!H44), COLUMN(ปกติ!H44), 4), ""), ปกติ!H44)</f>
        <v>100.17</v>
      </c>
      <c r="E9" s="121">
        <f>HYPERLINK(IF($G$1="เปิด", "#'ปกติ'!" &amp; ADDRESS(ROW(ปกติ!L44), COLUMN(ปกติ!L44), 4), ""), ปกติ!L44)</f>
        <v>23</v>
      </c>
      <c r="F9" s="183">
        <f>HYPERLINK(IF($G$1="เปิด", "#'ปกติ'!" &amp; ADDRESS(ROW(ปกติ!P44), COLUMN(ปกติ!P44), 4), ""), ปกติ!P44)</f>
        <v>307.52999999999997</v>
      </c>
      <c r="G9" s="221">
        <f>SUM(F9:F10)</f>
        <v>307.52999999999997</v>
      </c>
    </row>
    <row r="10" spans="1:7" ht="21" customHeight="1" x14ac:dyDescent="0.35">
      <c r="A10" s="192" t="str">
        <f>HYPERLINK(IF('รวมปกติ+พิเศษ'!$L$1="เปิด", "#'รวมปกติ+พิเศษ'!A" &amp; MATCH("คณะแพทยศาสตร์", 'รวมปกติ+พิเศษ'!A:A, 0), "#A"&amp;ROW()), IF('รวมปกติ+พิเศษ'!$L$1="เปิด", "กลับรวมปกติ+พิเศษ", ""))</f>
        <v/>
      </c>
      <c r="B10" s="191" t="s">
        <v>97</v>
      </c>
      <c r="C10" s="218">
        <f>HYPERLINK(IF($G$1="เปิด", "#'ปกติ'!" &amp; ADDRESS(ROW(ปกติ!E45), COLUMN(ปกติ!E45), 4) &amp; ":" &amp; ADDRESS(ROW(ปกติ!E46), COLUMN(ปกติ!E46), 4), ""), SUM(ปกติ!E45:E46))</f>
        <v>0</v>
      </c>
      <c r="D10" s="218">
        <f>HYPERLINK(IF($G$1="เปิด", "#'ปกติ'!" &amp; ADDRESS(ROW(ปกติ!I45), COLUMN(ปกติ!I45), 4) &amp; ":" &amp; ADDRESS(ROW(ปกติ!I46), COLUMN(ปกติ!I46), 4), ""), SUM(ปกติ!I45:I46))</f>
        <v>0</v>
      </c>
      <c r="E10" s="218">
        <f>HYPERLINK(IF($G$1="เปิด", "#'ปกติ'!" &amp; ADDRESS(ROW(ปกติ!M45), COLUMN(ปกติ!M45), 4) &amp; ":" &amp; ADDRESS(ROW(ปกติ!M46), COLUMN(ปกติ!M46), 4), ""), SUM(ปกติ!M45:M46))</f>
        <v>0</v>
      </c>
      <c r="F10" s="219">
        <f>HYPERLINK(IF($G$1="เปิด", "#'ปกติ'!" &amp; ADDRESS(ROW(ปกติ!Q45), COLUMN(ปกติ!Q45), 4) &amp; ":" &amp; ADDRESS(ROW(ปกติ!Q46), COLUMN(ปกติ!Q46), 4), ""), SUM(ปกติ!Q45:Q46))</f>
        <v>0</v>
      </c>
      <c r="G10" s="220"/>
    </row>
    <row r="11" spans="1:7" ht="21" customHeight="1" x14ac:dyDescent="0.35">
      <c r="A11" s="5" t="str">
        <f>HYPERLINK(IF($G$1="เปิด", "#ปกติ!A" &amp; MATCH("คณะภูมิสารสนเทศศาสตร์", ปกติ!A:A, 0), ""), IF($G$1="เปิด", "คณะภูมิสารสนเทศศาสตร์ (ไปชีทปกติ)", "คณะภูมิสารสนเทศศาสตร์"))</f>
        <v>คณะภูมิสารสนเทศศาสตร์</v>
      </c>
      <c r="B11" s="5" t="s">
        <v>8</v>
      </c>
      <c r="C11" s="121">
        <f>HYPERLINK(IF($G$1="เปิด", "#'ปกติ'!" &amp; ADDRESS(ROW(ปกติ!D48), COLUMN(ปกติ!D48), 4), ""), ปกติ!D48)</f>
        <v>198.39</v>
      </c>
      <c r="D11" s="121">
        <f>HYPERLINK(IF($G$1="เปิด", "#'ปกติ'!" &amp; ADDRESS(ROW(ปกติ!H48), COLUMN(ปกติ!H48), 4), ""), ปกติ!H48)</f>
        <v>212</v>
      </c>
      <c r="E11" s="121">
        <f>HYPERLINK(IF($G$1="เปิด", "#'ปกติ'!" &amp; ADDRESS(ROW(ปกติ!L48), COLUMN(ปกติ!L48), 4), ""), ปกติ!L48)</f>
        <v>0</v>
      </c>
      <c r="F11" s="183">
        <f>HYPERLINK(IF($G$1="เปิด", "#'ปกติ'!" &amp; ADDRESS(ROW(ปกติ!P48), COLUMN(ปกติ!P48), 4), ""), ปกติ!P48)</f>
        <v>205.19</v>
      </c>
      <c r="G11" s="221">
        <f>SUM(F11:F12)</f>
        <v>216.19</v>
      </c>
    </row>
    <row r="12" spans="1:7" ht="21" customHeight="1" x14ac:dyDescent="0.35">
      <c r="A12" s="192" t="str">
        <f>HYPERLINK(IF('รวมปกติ+พิเศษ'!$L$1="เปิด", "#'รวมปกติ+พิเศษ'!A" &amp; MATCH("คณะภูมิสารสนเทศศาสตร์", 'รวมปกติ+พิเศษ'!A:A, 0), "#A"&amp;ROW()), IF('รวมปกติ+พิเศษ'!$L$1="เปิด", "กลับรวมปกติ+พิเศษ", ""))</f>
        <v/>
      </c>
      <c r="B12" s="191" t="s">
        <v>97</v>
      </c>
      <c r="C12" s="218">
        <f>HYPERLINK(IF($G$1="เปิด", "#'ปกติ'!" &amp; ADDRESS(ROW(ปกติ!E49), COLUMN(ปกติ!E49), 4) &amp; ":" &amp; ADDRESS(ROW(ปกติ!E50), COLUMN(ปกติ!E50), 4), ""), SUM(ปกติ!E49:E50))</f>
        <v>12</v>
      </c>
      <c r="D12" s="218">
        <f>HYPERLINK(IF($G$1="เปิด", "#'ปกติ'!" &amp; ADDRESS(ROW(ปกติ!I49), COLUMN(ปกติ!I49), 4) &amp; ":" &amp; ADDRESS(ROW(ปกติ!I50), COLUMN(ปกติ!I50), 4), ""), SUM(ปกติ!I49:I50))</f>
        <v>10</v>
      </c>
      <c r="E12" s="218">
        <f>HYPERLINK(IF($G$1="เปิด", "#'ปกติ'!" &amp; ADDRESS(ROW(ปกติ!M49), COLUMN(ปกติ!M49), 4) &amp; ":" &amp; ADDRESS(ROW(ปกติ!M50), COLUMN(ปกติ!M50), 4), ""), SUM(ปกติ!M49:M50))</f>
        <v>0</v>
      </c>
      <c r="F12" s="219">
        <f>HYPERLINK(IF($G$1="เปิด", "#'ปกติ'!" &amp; ADDRESS(ROW(ปกติ!Q49), COLUMN(ปกติ!Q49), 4) &amp; ":" &amp; ADDRESS(ROW(ปกติ!Q50), COLUMN(ปกติ!Q50), 4), ""), SUM(ปกติ!Q49:Q50))</f>
        <v>11</v>
      </c>
      <c r="G12" s="220"/>
    </row>
    <row r="13" spans="1:7" ht="21" customHeight="1" x14ac:dyDescent="0.35">
      <c r="A13" s="5" t="str">
        <f>HYPERLINK(IF($G$1="เปิด", "#ปกติ!A" &amp; MATCH("คณะเภสัชศาสตร์", ปกติ!A:A, 0), ""), IF($G$1="เปิด", "คณะเภสัชศาสตร์ (ไปชีทปกติ)", "คณะเภสัชศาสตร์"))</f>
        <v>คณะเภสัชศาสตร์</v>
      </c>
      <c r="B13" s="5" t="s">
        <v>8</v>
      </c>
      <c r="C13" s="121">
        <f>HYPERLINK(IF($G$1="เปิด", "#'ปกติ'!" &amp; ADDRESS(ROW(ปกติ!D52), COLUMN(ปกติ!D52), 4), ""), ปกติ!D52)</f>
        <v>1052.83</v>
      </c>
      <c r="D13" s="121">
        <f>HYPERLINK(IF($G$1="เปิด", "#'ปกติ'!" &amp; ADDRESS(ROW(ปกติ!H52), COLUMN(ปกติ!H52), 4), ""), ปกติ!H52)</f>
        <v>1104.17</v>
      </c>
      <c r="E13" s="121">
        <f>HYPERLINK(IF($G$1="เปิด", "#'ปกติ'!" &amp; ADDRESS(ROW(ปกติ!L52), COLUMN(ปกติ!L52), 4), ""), ปกติ!L52)</f>
        <v>59.06</v>
      </c>
      <c r="F13" s="183">
        <f>HYPERLINK(IF($G$1="เปิด", "#'ปกติ'!" &amp; ADDRESS(ROW(ปกติ!P52), COLUMN(ปกติ!P52), 4), ""), ปกติ!P52)</f>
        <v>1108.03</v>
      </c>
      <c r="G13" s="221">
        <f>SUM(F13:F14)</f>
        <v>1110.45</v>
      </c>
    </row>
    <row r="14" spans="1:7" ht="21" customHeight="1" x14ac:dyDescent="0.35">
      <c r="A14" s="192" t="str">
        <f>HYPERLINK(IF('รวมปกติ+พิเศษ'!$L$1="เปิด", "#'รวมปกติ+พิเศษ'!A" &amp; MATCH("คณะเภสัชศาสตร์", 'รวมปกติ+พิเศษ'!A:A, 0), "#A"&amp;ROW()), IF('รวมปกติ+พิเศษ'!$L$1="เปิด", "กลับรวมปกติ+พิเศษ", ""))</f>
        <v/>
      </c>
      <c r="B14" s="191" t="s">
        <v>97</v>
      </c>
      <c r="C14" s="218">
        <f>HYPERLINK(IF($G$1="เปิด", "#'ปกติ'!" &amp; ADDRESS(ROW(ปกติ!E53), COLUMN(ปกติ!E53), 4) &amp; ":" &amp; ADDRESS(ROW(ปกติ!E54), COLUMN(ปกติ!E54), 4), ""), SUM(ปกติ!E53:E54))</f>
        <v>2.42</v>
      </c>
      <c r="D14" s="218">
        <f>HYPERLINK(IF($G$1="เปิด", "#'ปกติ'!" &amp; ADDRESS(ROW(ปกติ!I53), COLUMN(ปกติ!I53), 4) &amp; ":" &amp; ADDRESS(ROW(ปกติ!I54), COLUMN(ปกติ!I54), 4), ""), SUM(ปกติ!I53:I54))</f>
        <v>2.42</v>
      </c>
      <c r="E14" s="218">
        <f>HYPERLINK(IF($G$1="เปิด", "#'ปกติ'!" &amp; ADDRESS(ROW(ปกติ!M53), COLUMN(ปกติ!M53), 4) &amp; ":" &amp; ADDRESS(ROW(ปกติ!M54), COLUMN(ปกติ!M54), 4), ""), SUM(ปกติ!M53:M54))</f>
        <v>0</v>
      </c>
      <c r="F14" s="219">
        <f>HYPERLINK(IF($G$1="เปิด", "#'ปกติ'!" &amp; ADDRESS(ROW(ปกติ!Q53), COLUMN(ปกติ!Q53), 4) &amp; ":" &amp; ADDRESS(ROW(ปกติ!Q54), COLUMN(ปกติ!Q54), 4), ""), SUM(ปกติ!Q53:Q54))</f>
        <v>2.42</v>
      </c>
      <c r="G14" s="220"/>
    </row>
    <row r="15" spans="1:7" ht="21" customHeight="1" x14ac:dyDescent="0.35">
      <c r="A15" s="5" t="str">
        <f>HYPERLINK(IF($G$1="เปิด", "#ปกติ!A" &amp; MATCH("คณะมนุษยศาสตร์และสังคมศาสตร์", ปกติ!A:A, 0), ""), IF($G$1="เปิด", "คณะมนุษยศาสตร์และสังคมศาสตร์ (ไปชีทปกติ)", "คณะมนุษยศาสตร์และสังคมศาสตร์"))</f>
        <v>คณะมนุษยศาสตร์และสังคมศาสตร์</v>
      </c>
      <c r="B15" s="5" t="s">
        <v>8</v>
      </c>
      <c r="C15" s="121">
        <f>HYPERLINK(IF($G$1="เปิด", "#'ปกติ'!" &amp; ADDRESS(ROW(ปกติ!D89), COLUMN(ปกติ!D89), 4), ""), ปกติ!D89)</f>
        <v>3435.44</v>
      </c>
      <c r="D15" s="121">
        <f>HYPERLINK(IF($G$1="เปิด", "#'ปกติ'!" &amp; ADDRESS(ROW(ปกติ!H89), COLUMN(ปกติ!H89), 4), ""), ปกติ!H89)</f>
        <v>2989.06</v>
      </c>
      <c r="E15" s="121">
        <f>HYPERLINK(IF($G$1="เปิด", "#'ปกติ'!" &amp; ADDRESS(ROW(ปกติ!L89), COLUMN(ปกติ!L89), 4), ""), ปกติ!L89)</f>
        <v>18.170000000000002</v>
      </c>
      <c r="F15" s="183">
        <f>HYPERLINK(IF($G$1="เปิด", "#'ปกติ'!" &amp; ADDRESS(ROW(ปกติ!P89), COLUMN(ปกติ!P89), 4), ""), ปกติ!P89)</f>
        <v>3221.33</v>
      </c>
      <c r="G15" s="221">
        <f>SUM(F15:F16)</f>
        <v>3235.5140000000001</v>
      </c>
    </row>
    <row r="16" spans="1:7" ht="21" customHeight="1" x14ac:dyDescent="0.35">
      <c r="A16" s="192" t="str">
        <f>HYPERLINK(IF('รวมปกติ+พิเศษ'!$L$1="เปิด", "#'รวมปกติ+พิเศษ'!A" &amp; MATCH("คณะมนุษยศาสตร์และสังคมศาสตร์", 'รวมปกติ+พิเศษ'!A:A, 0), "#A"&amp;ROW()), IF('รวมปกติ+พิเศษ'!$L$1="เปิด", "กลับรวมปกติ+พิเศษ", ""))</f>
        <v/>
      </c>
      <c r="B16" s="191" t="s">
        <v>97</v>
      </c>
      <c r="C16" s="218">
        <f>HYPERLINK(IF($G$1="เปิด", "#'ปกติ'!" &amp; ADDRESS(ROW(ปกติ!E90), COLUMN(ปกติ!E90), 4) &amp; ":" &amp; ADDRESS(ROW(ปกติ!E91), COLUMN(ปกติ!E91), 4), ""), SUM(ปกติ!E90:E91))</f>
        <v>13.95</v>
      </c>
      <c r="D16" s="218">
        <f>HYPERLINK(IF($G$1="เปิด", "#'ปกติ'!" &amp; ADDRESS(ROW(ปกติ!I90), COLUMN(ปกติ!I90), 4) &amp; ":" &amp; ADDRESS(ROW(ปกติ!I91), COLUMN(ปกติ!I91), 4), ""), SUM(ปกติ!I90:I91))</f>
        <v>14.4</v>
      </c>
      <c r="E16" s="218">
        <f>HYPERLINK(IF($G$1="เปิด", "#'ปกติ'!" &amp; ADDRESS(ROW(ปกติ!M90), COLUMN(ปกติ!M90), 4) &amp; ":" &amp; ADDRESS(ROW(ปกติ!M91), COLUMN(ปกติ!M91), 4), ""), SUM(ปกติ!M90:M91))</f>
        <v>0</v>
      </c>
      <c r="F16" s="219">
        <f>HYPERLINK(IF($G$1="เปิด", "#'ปกติ'!" &amp; ADDRESS(ROW(ปกติ!Q90), COLUMN(ปกติ!Q90), 4) &amp; ":" &amp; ADDRESS(ROW(ปกติ!Q91), COLUMN(ปกติ!Q91), 4), ""), SUM(ปกติ!Q90:Q91))</f>
        <v>14.184000000000001</v>
      </c>
      <c r="G16" s="220"/>
    </row>
    <row r="17" spans="1:7" ht="21" customHeight="1" x14ac:dyDescent="0.35">
      <c r="A17" s="5" t="str">
        <f>HYPERLINK(IF($G$1="เปิด", "#ปกติ!A" &amp; MATCH("คณะรัฐศาสตร์และนิติศาสตร์", ปกติ!A:A, 0), ""), IF($G$1="เปิด", "คณะรัฐศาสตร์และนิติศาสตร์ (ไปชีทปกติ)", "คณะรัฐศาสตร์และนิติศาสตร์"))</f>
        <v>คณะรัฐศาสตร์และนิติศาสตร์</v>
      </c>
      <c r="B17" s="5" t="s">
        <v>8</v>
      </c>
      <c r="C17" s="121">
        <f>HYPERLINK(IF($G$1="เปิด", "#'ปกติ'!" &amp; ADDRESS(ROW(ปกติ!D102), COLUMN(ปกติ!D102), 4), ""), ปกติ!D102)</f>
        <v>1096.8900000000001</v>
      </c>
      <c r="D17" s="121">
        <f>HYPERLINK(IF($G$1="เปิด", "#'ปกติ'!" &amp; ADDRESS(ROW(ปกติ!H102), COLUMN(ปกติ!H102), 4), ""), ปกติ!H102)</f>
        <v>944.33</v>
      </c>
      <c r="E17" s="121">
        <f>HYPERLINK(IF($G$1="เปิด", "#'ปกติ'!" &amp; ADDRESS(ROW(ปกติ!L102), COLUMN(ปกติ!L102), 4), ""), ปกติ!L102)</f>
        <v>0</v>
      </c>
      <c r="F17" s="183">
        <f>HYPERLINK(IF($G$1="เปิด", "#'ปกติ'!" &amp; ADDRESS(ROW(ปกติ!P102), COLUMN(ปกติ!P102), 4), ""), ปกติ!P102)</f>
        <v>1020.61</v>
      </c>
      <c r="G17" s="221">
        <f>SUM(F17:F18)</f>
        <v>1058.5540000000001</v>
      </c>
    </row>
    <row r="18" spans="1:7" ht="21" customHeight="1" x14ac:dyDescent="0.35">
      <c r="A18" s="192" t="str">
        <f>HYPERLINK(IF('รวมปกติ+พิเศษ'!$L$1="เปิด", "#'รวมปกติ+พิเศษ'!A" &amp; MATCH("คณะรัฐศาสตร์และนิติศาสตร์", 'รวมปกติ+พิเศษ'!A:A, 0), "#A"&amp;ROW()), IF('รวมปกติ+พิเศษ'!$L$1="เปิด", "กลับรวมปกติ+พิเศษ", ""))</f>
        <v/>
      </c>
      <c r="B18" s="191" t="s">
        <v>97</v>
      </c>
      <c r="C18" s="218">
        <f>HYPERLINK(IF($G$1="เปิด", "#'ปกติ'!" &amp; ADDRESS(ROW(ปกติ!E103), COLUMN(ปกติ!E103), 4) &amp; ":" &amp; ADDRESS(ROW(ปกติ!E104), COLUMN(ปกติ!E104), 4), ""), SUM(ปกติ!E103:E104))</f>
        <v>38.106000000000002</v>
      </c>
      <c r="D18" s="218">
        <f>HYPERLINK(IF($G$1="เปิด", "#'ปกติ'!" &amp; ADDRESS(ROW(ปกติ!I103), COLUMN(ปกติ!I103), 4) &amp; ":" &amp; ADDRESS(ROW(ปกติ!I104), COLUMN(ปกติ!I104), 4), ""), SUM(ปกติ!I103:I104))</f>
        <v>37.800000000000004</v>
      </c>
      <c r="E18" s="218">
        <f>HYPERLINK(IF($G$1="เปิด", "#'ปกติ'!" &amp; ADDRESS(ROW(ปกติ!M103), COLUMN(ปกติ!M103), 4) &amp; ":" &amp; ADDRESS(ROW(ปกติ!M104), COLUMN(ปกติ!M104), 4), ""), SUM(ปกติ!M103:M104))</f>
        <v>0</v>
      </c>
      <c r="F18" s="219">
        <f>HYPERLINK(IF($G$1="เปิด", "#'ปกติ'!" &amp; ADDRESS(ROW(ปกติ!Q103), COLUMN(ปกติ!Q103), 4) &amp; ":" &amp; ADDRESS(ROW(ปกติ!Q104), COLUMN(ปกติ!Q104), 4), ""), SUM(ปกติ!Q103:Q104))</f>
        <v>37.943999999999996</v>
      </c>
      <c r="G18" s="220"/>
    </row>
    <row r="19" spans="1:7" ht="21" customHeight="1" x14ac:dyDescent="0.35">
      <c r="A19" s="5" t="str">
        <f>HYPERLINK(IF($G$1="เปิด", "#ปกติ!A" &amp; MATCH("คณะโลจิสติกส์", ปกติ!A:A, 0), ""), IF($G$1="เปิด", "คณะโลจิสติกส์ (ไปชีทปกติ)", "คณะโลจิสติกส์"))</f>
        <v>คณะโลจิสติกส์</v>
      </c>
      <c r="B19" s="5" t="s">
        <v>8</v>
      </c>
      <c r="C19" s="121">
        <f>HYPERLINK(IF($G$1="เปิด", "#'ปกติ'!" &amp; ADDRESS(ROW(ปกติ!D106), COLUMN(ปกติ!D106), 4), ""), ปกติ!D106)</f>
        <v>1049.67</v>
      </c>
      <c r="D19" s="121">
        <f>HYPERLINK(IF($G$1="เปิด", "#'ปกติ'!" &amp; ADDRESS(ROW(ปกติ!H106), COLUMN(ปกติ!H106), 4), ""), ปกติ!H106)</f>
        <v>994.94</v>
      </c>
      <c r="E19" s="121">
        <f>HYPERLINK(IF($G$1="เปิด", "#'ปกติ'!" &amp; ADDRESS(ROW(ปกติ!L106), COLUMN(ปกติ!L106), 4), ""), ปกติ!L106)</f>
        <v>39.78</v>
      </c>
      <c r="F19" s="183">
        <f>HYPERLINK(IF($G$1="เปิด", "#'ปกติ'!" &amp; ADDRESS(ROW(ปกติ!P106), COLUMN(ปกติ!P106), 4), ""), ปกติ!P106)</f>
        <v>1042.19</v>
      </c>
      <c r="G19" s="221">
        <f>SUM(F19:F20)</f>
        <v>1052.8500000000001</v>
      </c>
    </row>
    <row r="20" spans="1:7" ht="21" customHeight="1" x14ac:dyDescent="0.35">
      <c r="A20" s="192" t="str">
        <f>HYPERLINK(IF('รวมปกติ+พิเศษ'!$L$1="เปิด", "#'รวมปกติ+พิเศษ'!A" &amp; MATCH("คณะโลจิสติกส์", 'รวมปกติ+พิเศษ'!A:A, 0), "#A"&amp;ROW()), IF('รวมปกติ+พิเศษ'!$L$1="เปิด", "กลับรวมปกติ+พิเศษ", ""))</f>
        <v/>
      </c>
      <c r="B20" s="191" t="s">
        <v>97</v>
      </c>
      <c r="C20" s="218">
        <f>HYPERLINK(IF($G$1="เปิด", "#'ปกติ'!" &amp; ADDRESS(ROW(ปกติ!E107), COLUMN(ปกติ!E107), 4) &amp; ":" &amp; ADDRESS(ROW(ปกติ!E108), COLUMN(ปกติ!E108), 4), ""), SUM(ปกติ!E107:E108))</f>
        <v>9.66</v>
      </c>
      <c r="D20" s="218">
        <f>HYPERLINK(IF($G$1="เปิด", "#'ปกติ'!" &amp; ADDRESS(ROW(ปกติ!I107), COLUMN(ปกติ!I107), 4) &amp; ":" &amp; ADDRESS(ROW(ปกติ!I108), COLUMN(ปกติ!I108), 4), ""), SUM(ปกติ!I107:I108))</f>
        <v>11.16</v>
      </c>
      <c r="E20" s="218">
        <f>HYPERLINK(IF($G$1="เปิด", "#'ปกติ'!" &amp; ADDRESS(ROW(ปกติ!M107), COLUMN(ปกติ!M107), 4) &amp; ":" &amp; ADDRESS(ROW(ปกติ!M108), COLUMN(ปกติ!M108), 4), ""), SUM(ปกติ!M107:M108))</f>
        <v>0.5</v>
      </c>
      <c r="F20" s="219">
        <f>HYPERLINK(IF($G$1="เปิด", "#'ปกติ'!" &amp; ADDRESS(ROW(ปกติ!Q107), COLUMN(ปกติ!Q107), 4) &amp; ":" &amp; ADDRESS(ROW(ปกติ!Q108), COLUMN(ปกติ!Q108), 4), ""), SUM(ปกติ!Q107:Q108))</f>
        <v>10.66</v>
      </c>
      <c r="G20" s="220"/>
    </row>
    <row r="21" spans="1:7" ht="21" customHeight="1" x14ac:dyDescent="0.35">
      <c r="A21" s="5" t="str">
        <f>HYPERLINK(IF($G$1="เปิด", "#ปกติ!A" &amp; MATCH("คณะวิทยาการสารสนเทศ", ปกติ!A:A, 0), ""), IF($G$1="เปิด", "คณะวิทยาการสารสนเทศ (ไปชีทปกติ)", "คณะวิทยาการสารสนเทศ"))</f>
        <v>คณะวิทยาการสารสนเทศ</v>
      </c>
      <c r="B21" s="5" t="s">
        <v>8</v>
      </c>
      <c r="C21" s="121">
        <f>HYPERLINK(IF($G$1="เปิด", "#'ปกติ'!" &amp; ADDRESS(ROW(ปกติ!D110), COLUMN(ปกติ!D110), 4), ""), ปกติ!D110)</f>
        <v>981.28</v>
      </c>
      <c r="D21" s="121">
        <f>HYPERLINK(IF($G$1="เปิด", "#'ปกติ'!" &amp; ADDRESS(ROW(ปกติ!H110), COLUMN(ปกติ!H110), 4), ""), ปกติ!H110)</f>
        <v>1039.17</v>
      </c>
      <c r="E21" s="121">
        <f>HYPERLINK(IF($G$1="เปิด", "#'ปกติ'!" &amp; ADDRESS(ROW(ปกติ!L110), COLUMN(ปกติ!L110), 4), ""), ปกติ!L110)</f>
        <v>13.33</v>
      </c>
      <c r="F21" s="183">
        <f>HYPERLINK(IF($G$1="เปิด", "#'ปกติ'!" &amp; ADDRESS(ROW(ปกติ!P110), COLUMN(ปกติ!P110), 4), ""), ปกติ!P110)</f>
        <v>1016.89</v>
      </c>
      <c r="G21" s="221">
        <f>SUM(F21:F22)</f>
        <v>1052.8899999999999</v>
      </c>
    </row>
    <row r="22" spans="1:7" ht="21" customHeight="1" x14ac:dyDescent="0.35">
      <c r="A22" s="192" t="str">
        <f>HYPERLINK(IF('รวมปกติ+พิเศษ'!$L$1="เปิด", "#'รวมปกติ+พิเศษ'!A" &amp; MATCH("คณะวิทยาการสารสนเทศ", 'รวมปกติ+พิเศษ'!A:A, 0), "#A"&amp;ROW()), IF('รวมปกติ+พิเศษ'!$L$1="เปิด", "กลับรวมปกติ+พิเศษ", ""))</f>
        <v/>
      </c>
      <c r="B22" s="191" t="s">
        <v>97</v>
      </c>
      <c r="C22" s="218">
        <f>HYPERLINK(IF($G$1="เปิด", "#'ปกติ'!" &amp; ADDRESS(ROW(ปกติ!E111), COLUMN(ปกติ!E111), 4) &amp; ":" &amp; ADDRESS(ROW(ปกติ!E112), COLUMN(ปกติ!E112), 4), ""), SUM(ปกติ!E111:E112))</f>
        <v>34.840000000000003</v>
      </c>
      <c r="D22" s="218">
        <f>HYPERLINK(IF($G$1="เปิด", "#'ปกติ'!" &amp; ADDRESS(ROW(ปกติ!I111), COLUMN(ปกติ!I111), 4) &amp; ":" &amp; ADDRESS(ROW(ปกติ!I112), COLUMN(ปกติ!I112), 4), ""), SUM(ปกติ!I111:I112))</f>
        <v>37.159999999999997</v>
      </c>
      <c r="E22" s="218">
        <f>HYPERLINK(IF($G$1="เปิด", "#'ปกติ'!" &amp; ADDRESS(ROW(ปกติ!M111), COLUMN(ปกติ!M111), 4) &amp; ":" &amp; ADDRESS(ROW(ปกติ!M112), COLUMN(ปกติ!M112), 4), ""), SUM(ปกติ!M111:M112))</f>
        <v>0</v>
      </c>
      <c r="F22" s="219">
        <f>HYPERLINK(IF($G$1="เปิด", "#'ปกติ'!" &amp; ADDRESS(ROW(ปกติ!Q111), COLUMN(ปกติ!Q111), 4) &amp; ":" &amp; ADDRESS(ROW(ปกติ!Q112), COLUMN(ปกติ!Q112), 4), ""), SUM(ปกติ!Q111:Q112))</f>
        <v>36</v>
      </c>
      <c r="G22" s="220"/>
    </row>
    <row r="23" spans="1:7" ht="21" customHeight="1" x14ac:dyDescent="0.35">
      <c r="A23" s="5" t="str">
        <f>HYPERLINK(IF($G$1="เปิด", "#ปกติ!A" &amp; MATCH("คณะวิทยาศาสตร์", ปกติ!A:A, 0), ""), IF($G$1="เปิด", "คณะวิทยาศาสตร์ (ไปชีทปกติ)", "คณะวิทยาศาสตร์"))</f>
        <v>คณะวิทยาศาสตร์</v>
      </c>
      <c r="B23" s="5" t="s">
        <v>8</v>
      </c>
      <c r="C23" s="121">
        <f>HYPERLINK(IF($G$1="เปิด", "#'ปกติ'!" &amp; ADDRESS(ROW(ปกติ!D144), COLUMN(ปกติ!D144), 4), ""), ปกติ!D144)</f>
        <v>3361.61</v>
      </c>
      <c r="D23" s="121">
        <f>HYPERLINK(IF($G$1="เปิด", "#'ปกติ'!" &amp; ADDRESS(ROW(ปกติ!H144), COLUMN(ปกติ!H144), 4), ""), ปกติ!H144)</f>
        <v>2972.72</v>
      </c>
      <c r="E23" s="121">
        <f>HYPERLINK(IF($G$1="เปิด", "#'ปกติ'!" &amp; ADDRESS(ROW(ปกติ!L144), COLUMN(ปกติ!L144), 4), ""), ปกติ!L144)</f>
        <v>28.78</v>
      </c>
      <c r="F23" s="183">
        <f>HYPERLINK(IF($G$1="เปิด", "#'ปกติ'!" &amp; ADDRESS(ROW(ปกติ!P144), COLUMN(ปกติ!P144), 4), ""), ปกติ!P144)</f>
        <v>3181.56</v>
      </c>
      <c r="G23" s="221">
        <f>SUM(F23:F24)</f>
        <v>3245.82</v>
      </c>
    </row>
    <row r="24" spans="1:7" ht="21" customHeight="1" x14ac:dyDescent="0.35">
      <c r="A24" s="192" t="str">
        <f>HYPERLINK(IF('รวมปกติ+พิเศษ'!$L$1="เปิด", "#'รวมปกติ+พิเศษ'!A" &amp; MATCH("คณะวิทยาศาสตร์", 'รวมปกติ+พิเศษ'!A:A, 0), "#A"&amp;ROW()), IF('รวมปกติ+พิเศษ'!$L$1="เปิด", "กลับรวมปกติ+พิเศษ", ""))</f>
        <v/>
      </c>
      <c r="B24" s="191" t="s">
        <v>97</v>
      </c>
      <c r="C24" s="218">
        <f>HYPERLINK(IF($G$1="เปิด", "#'ปกติ'!" &amp; ADDRESS(ROW(ปกติ!E145), COLUMN(ปกติ!E145), 4) &amp; ":" &amp; ADDRESS(ROW(ปกติ!E146), COLUMN(ปกติ!E146), 4), ""), SUM(ปกติ!E145:E146))</f>
        <v>69.66</v>
      </c>
      <c r="D24" s="218">
        <f>HYPERLINK(IF($G$1="เปิด", "#'ปกติ'!" &amp; ADDRESS(ROW(ปกติ!I145), COLUMN(ปกติ!I145), 4) &amp; ":" &amp; ADDRESS(ROW(ปกติ!I146), COLUMN(ปกติ!I146), 4), ""), SUM(ปกติ!I145:I146))</f>
        <v>58.84</v>
      </c>
      <c r="E24" s="218">
        <f>HYPERLINK(IF($G$1="เปิด", "#'ปกติ'!" &amp; ADDRESS(ROW(ปกติ!M145), COLUMN(ปกติ!M145), 4) &amp; ":" &amp; ADDRESS(ROW(ปกติ!M146), COLUMN(ปกติ!M146), 4), ""), SUM(ปกติ!M145:M146))</f>
        <v>0</v>
      </c>
      <c r="F24" s="219">
        <f>HYPERLINK(IF($G$1="เปิด", "#'ปกติ'!" &amp; ADDRESS(ROW(ปกติ!Q145), COLUMN(ปกติ!Q145), 4) &amp; ":" &amp; ADDRESS(ROW(ปกติ!Q146), COLUMN(ปกติ!Q146), 4), ""), SUM(ปกติ!Q145:Q146))</f>
        <v>64.260000000000005</v>
      </c>
      <c r="G24" s="220"/>
    </row>
    <row r="25" spans="1:7" ht="21" customHeight="1" x14ac:dyDescent="0.35">
      <c r="A25" s="5" t="str">
        <f>HYPERLINK(IF($G$1="เปิด", "#ปกติ!A" &amp; MATCH("คณะวิทยาศาสตร์การกีฬา", ปกติ!A:A, 0), ""), IF($G$1="เปิด", "คณะวิทยาศาสตร์การกีฬา (ไปชีทปกติ)", "คณะวิทยาศาสตร์การกีฬา"))</f>
        <v>คณะวิทยาศาสตร์การกีฬา</v>
      </c>
      <c r="B25" s="5" t="s">
        <v>8</v>
      </c>
      <c r="C25" s="121">
        <f>HYPERLINK(IF($G$1="เปิด", "#'ปกติ'!" &amp; ADDRESS(ROW(ปกติ!D148), COLUMN(ปกติ!D148), 4), ""), ปกติ!D148)</f>
        <v>631.78</v>
      </c>
      <c r="D25" s="121">
        <f>HYPERLINK(IF($G$1="เปิด", "#'ปกติ'!" &amp; ADDRESS(ROW(ปกติ!H148), COLUMN(ปกติ!H148), 4), ""), ปกติ!H148)</f>
        <v>508.28</v>
      </c>
      <c r="E25" s="121">
        <f>HYPERLINK(IF($G$1="เปิด", "#'ปกติ'!" &amp; ADDRESS(ROW(ปกติ!L148), COLUMN(ปกติ!L148), 4), ""), ปกติ!L148)</f>
        <v>0</v>
      </c>
      <c r="F25" s="183">
        <f>HYPERLINK(IF($G$1="เปิด", "#'ปกติ'!" &amp; ADDRESS(ROW(ปกติ!P148), COLUMN(ปกติ!P148), 4), ""), ปกติ!P148)</f>
        <v>570.03</v>
      </c>
      <c r="G25" s="221">
        <f>SUM(F25:F26)</f>
        <v>586.74</v>
      </c>
    </row>
    <row r="26" spans="1:7" ht="21" customHeight="1" x14ac:dyDescent="0.35">
      <c r="A26" s="192" t="str">
        <f>HYPERLINK(IF('รวมปกติ+พิเศษ'!$L$1="เปิด", "#'รวมปกติ+พิเศษ'!A" &amp; MATCH("คณะวิทยาศาสตร์การกีฬา", 'รวมปกติ+พิเศษ'!A:A, 0), "#A"&amp;ROW()), IF('รวมปกติ+พิเศษ'!$L$1="เปิด", "กลับรวมปกติ+พิเศษ", ""))</f>
        <v/>
      </c>
      <c r="B26" s="191" t="s">
        <v>97</v>
      </c>
      <c r="C26" s="218">
        <f>HYPERLINK(IF($G$1="เปิด", "#'ปกติ'!" &amp; ADDRESS(ROW(ปกติ!E149), COLUMN(ปกติ!E149), 4) &amp; ":" &amp; ADDRESS(ROW(ปกติ!E150), COLUMN(ปกติ!E150), 4), ""), SUM(ปกติ!E149:E150))</f>
        <v>17.420000000000002</v>
      </c>
      <c r="D26" s="218">
        <f>HYPERLINK(IF($G$1="เปิด", "#'ปกติ'!" &amp; ADDRESS(ROW(ปกติ!I149), COLUMN(ปกติ!I149), 4) &amp; ":" &amp; ADDRESS(ROW(ปกติ!I150), COLUMN(ปกติ!I150), 4), ""), SUM(ปกติ!I149:I150))</f>
        <v>16</v>
      </c>
      <c r="E26" s="218">
        <f>HYPERLINK(IF($G$1="เปิด", "#'ปกติ'!" &amp; ADDRESS(ROW(ปกติ!M149), COLUMN(ปกติ!M149), 4) &amp; ":" &amp; ADDRESS(ROW(ปกติ!M150), COLUMN(ปกติ!M150), 4), ""), SUM(ปกติ!M149:M150))</f>
        <v>0</v>
      </c>
      <c r="F26" s="219">
        <f>HYPERLINK(IF($G$1="เปิด", "#'ปกติ'!" &amp; ADDRESS(ROW(ปกติ!Q149), COLUMN(ปกติ!Q149), 4) &amp; ":" &amp; ADDRESS(ROW(ปกติ!Q150), COLUMN(ปกติ!Q150), 4), ""), SUM(ปกติ!Q149:Q150))</f>
        <v>16.71</v>
      </c>
      <c r="G26" s="220"/>
    </row>
    <row r="27" spans="1:7" ht="21" customHeight="1" x14ac:dyDescent="0.35">
      <c r="A27" s="5" t="str">
        <f>HYPERLINK(IF($G$1="เปิด", "#ปกติ!A" &amp; MATCH("คณะวิศวกรรมศาสตร์", ปกติ!A:A, 0), ""), IF($G$1="เปิด", "คณะวิศวกรรมศาสตร์ (ไปชีทปกติ)", "คณะวิศวกรรมศาสตร์"))</f>
        <v>คณะวิศวกรรมศาสตร์</v>
      </c>
      <c r="B27" s="5" t="s">
        <v>8</v>
      </c>
      <c r="C27" s="121">
        <f>HYPERLINK(IF($G$1="เปิด", "#'ปกติ'!" &amp; ADDRESS(ROW(ปกติ!D170), COLUMN(ปกติ!D170), 4), ""), ปกติ!D170)</f>
        <v>1619.33</v>
      </c>
      <c r="D27" s="121">
        <f>HYPERLINK(IF($G$1="เปิด", "#'ปกติ'!" &amp; ADDRESS(ROW(ปกติ!H170), COLUMN(ปกติ!H170), 4), ""), ปกติ!H170)</f>
        <v>1706.06</v>
      </c>
      <c r="E27" s="121">
        <f>HYPERLINK(IF($G$1="เปิด", "#'ปกติ'!" &amp; ADDRESS(ROW(ปกติ!L170), COLUMN(ปกติ!L170), 4), ""), ปกติ!L170)</f>
        <v>71.89</v>
      </c>
      <c r="F27" s="183">
        <f>HYPERLINK(IF($G$1="เปิด", "#'ปกติ'!" &amp; ADDRESS(ROW(ปกติ!P170), COLUMN(ปกติ!P170), 4), ""), ปกติ!P170)</f>
        <v>1698.64</v>
      </c>
      <c r="G27" s="221">
        <f>SUM(F27:F28)</f>
        <v>1748.48</v>
      </c>
    </row>
    <row r="28" spans="1:7" ht="21" customHeight="1" x14ac:dyDescent="0.35">
      <c r="A28" s="192" t="str">
        <f>HYPERLINK(IF('รวมปกติ+พิเศษ'!$L$1="เปิด", "#'รวมปกติ+พิเศษ'!A" &amp; MATCH("คณะวิศวกรรมศาสตร์", 'รวมปกติ+พิเศษ'!A:A, 0), "#A"&amp;ROW()), IF('รวมปกติ+พิเศษ'!$L$1="เปิด", "กลับรวมปกติ+พิเศษ", ""))</f>
        <v/>
      </c>
      <c r="B28" s="191" t="s">
        <v>97</v>
      </c>
      <c r="C28" s="218">
        <f>HYPERLINK(IF($G$1="เปิด", "#'ปกติ'!" &amp; ADDRESS(ROW(ปกติ!E171), COLUMN(ปกติ!E171), 4) &amp; ":" &amp; ADDRESS(ROW(ปกติ!E172), COLUMN(ปกติ!E172), 4), ""), SUM(ปกติ!E171:E172))</f>
        <v>51.5</v>
      </c>
      <c r="D28" s="218">
        <f>HYPERLINK(IF($G$1="เปิด", "#'ปกติ'!" &amp; ADDRESS(ROW(ปกติ!I171), COLUMN(ปกติ!I171), 4) &amp; ":" &amp; ADDRESS(ROW(ปกติ!I172), COLUMN(ปกติ!I172), 4), ""), SUM(ปกติ!I171:I172))</f>
        <v>48.16</v>
      </c>
      <c r="E28" s="218">
        <f>HYPERLINK(IF($G$1="เปิด", "#'ปกติ'!" &amp; ADDRESS(ROW(ปกติ!M171), COLUMN(ปกติ!M171), 4) &amp; ":" &amp; ADDRESS(ROW(ปกติ!M172), COLUMN(ปกติ!M172), 4), ""), SUM(ปกติ!M171:M172))</f>
        <v>0</v>
      </c>
      <c r="F28" s="219">
        <f>HYPERLINK(IF($G$1="เปิด", "#'ปกติ'!" &amp; ADDRESS(ROW(ปกติ!Q171), COLUMN(ปกติ!Q171), 4) &amp; ":" &amp; ADDRESS(ROW(ปกติ!Q172), COLUMN(ปกติ!Q172), 4), ""), SUM(ปกติ!Q171:Q172))</f>
        <v>49.84</v>
      </c>
      <c r="G28" s="220"/>
    </row>
    <row r="29" spans="1:7" ht="21" customHeight="1" x14ac:dyDescent="0.35">
      <c r="A29" s="5" t="str">
        <f>HYPERLINK(IF($G$1="เปิด", "#ปกติ!A" &amp; MATCH("คณะศิลปกรรมศาสตร์", ปกติ!A:A, 0), ""), IF($G$1="เปิด", "คณะศิลปกรรมศาสตร์ (ไปชีทปกติ)", "คณะศิลปกรรมศาสตร์"))</f>
        <v>คณะศิลปกรรมศาสตร์</v>
      </c>
      <c r="B29" s="5" t="s">
        <v>8</v>
      </c>
      <c r="C29" s="121">
        <f>HYPERLINK(IF($G$1="เปิด", "#'ปกติ'!" &amp; ADDRESS(ROW(ปกติ!D174), COLUMN(ปกติ!D174), 4), ""), ปกติ!D174)</f>
        <v>451.67</v>
      </c>
      <c r="D29" s="121">
        <f>HYPERLINK(IF($G$1="เปิด", "#'ปกติ'!" &amp; ADDRESS(ROW(ปกติ!H174), COLUMN(ปกติ!H174), 4), ""), ปกติ!H174)</f>
        <v>451.39</v>
      </c>
      <c r="E29" s="121">
        <f>HYPERLINK(IF($G$1="เปิด", "#'ปกติ'!" &amp; ADDRESS(ROW(ปกติ!L174), COLUMN(ปกติ!L174), 4), ""), ปกติ!L174)</f>
        <v>0</v>
      </c>
      <c r="F29" s="183">
        <f>HYPERLINK(IF($G$1="เปิด", "#'ปกติ'!" &amp; ADDRESS(ROW(ปกติ!P174), COLUMN(ปกติ!P174), 4), ""), ปกติ!P174)</f>
        <v>451.53</v>
      </c>
      <c r="G29" s="221">
        <f>SUM(F29:F30)</f>
        <v>570.11400000000003</v>
      </c>
    </row>
    <row r="30" spans="1:7" ht="21" customHeight="1" x14ac:dyDescent="0.35">
      <c r="A30" s="192" t="str">
        <f>HYPERLINK(IF('รวมปกติ+พิเศษ'!$L$1="เปิด", "#'รวมปกติ+พิเศษ'!A" &amp; MATCH("คณะศิลปกรรมศาสตร์", 'รวมปกติ+พิเศษ'!A:A, 0), "#A"&amp;ROW()), IF('รวมปกติ+พิเศษ'!$L$1="เปิด", "กลับรวมปกติ+พิเศษ", ""))</f>
        <v/>
      </c>
      <c r="B30" s="191" t="s">
        <v>97</v>
      </c>
      <c r="C30" s="218">
        <f>HYPERLINK(IF($G$1="เปิด", "#'ปกติ'!" &amp; ADDRESS(ROW(ปกติ!E175), COLUMN(ปกติ!E175), 4) &amp; ":" &amp; ADDRESS(ROW(ปกติ!E176), COLUMN(ปกติ!E176), 4), ""), SUM(ปกติ!E175:E176))</f>
        <v>117.45</v>
      </c>
      <c r="D30" s="218">
        <f>HYPERLINK(IF($G$1="เปิด", "#'ปกติ'!" &amp; ADDRESS(ROW(ปกติ!I175), COLUMN(ปกติ!I175), 4) &amp; ":" &amp; ADDRESS(ROW(ปกติ!I176), COLUMN(ปกติ!I176), 4), ""), SUM(ปกติ!I175:I176))</f>
        <v>119.7</v>
      </c>
      <c r="E30" s="218">
        <f>HYPERLINK(IF($G$1="เปิด", "#'ปกติ'!" &amp; ADDRESS(ROW(ปกติ!M175), COLUMN(ปกติ!M175), 4) &amp; ":" &amp; ADDRESS(ROW(ปกติ!M176), COLUMN(ปกติ!M176), 4), ""), SUM(ปกติ!M175:M176))</f>
        <v>0</v>
      </c>
      <c r="F30" s="219">
        <f>HYPERLINK(IF($G$1="เปิด", "#'ปกติ'!" &amp; ADDRESS(ROW(ปกติ!Q175), COLUMN(ปกติ!Q175), 4) &amp; ":" &amp; ADDRESS(ROW(ปกติ!Q176), COLUMN(ปกติ!Q176), 4), ""), SUM(ปกติ!Q175:Q176))</f>
        <v>118.584</v>
      </c>
      <c r="G30" s="220"/>
    </row>
    <row r="31" spans="1:7" ht="21" customHeight="1" x14ac:dyDescent="0.35">
      <c r="A31" s="5" t="str">
        <f>HYPERLINK(IF($G$1="เปิด", "#ปกติ!A" &amp; MATCH("คณะศึกษาศาสตร์", ปกติ!A:A, 0), ""), IF($G$1="เปิด", "คณะศึกษาศาสตร์ (ไปชีทปกติ)", "คณะศึกษาศาสตร์"))</f>
        <v>คณะศึกษาศาสตร์</v>
      </c>
      <c r="B31" s="5" t="s">
        <v>8</v>
      </c>
      <c r="C31" s="121">
        <f>HYPERLINK(IF($G$1="เปิด", "#'ปกติ'!" &amp; ADDRESS(ROW(ปกติ!D206), COLUMN(ปกติ!D206), 4), ""), ปกติ!D206)</f>
        <v>1578.28</v>
      </c>
      <c r="D31" s="121">
        <f>HYPERLINK(IF($G$1="เปิด", "#'ปกติ'!" &amp; ADDRESS(ROW(ปกติ!H206), COLUMN(ปกติ!H206), 4), ""), ปกติ!H206)</f>
        <v>1663.17</v>
      </c>
      <c r="E31" s="121">
        <f>HYPERLINK(IF($G$1="เปิด", "#'ปกติ'!" &amp; ADDRESS(ROW(ปกติ!L206), COLUMN(ปกติ!L206), 4), ""), ปกติ!L206)</f>
        <v>1.89</v>
      </c>
      <c r="F31" s="183">
        <f>HYPERLINK(IF($G$1="เปิด", "#'ปกติ'!" &amp; ADDRESS(ROW(ปกติ!P206), COLUMN(ปกติ!P206), 4), ""), ปกติ!P206)</f>
        <v>1621.67</v>
      </c>
      <c r="G31" s="221">
        <f>SUM(F31:F32)</f>
        <v>1782.17</v>
      </c>
    </row>
    <row r="32" spans="1:7" ht="21" customHeight="1" x14ac:dyDescent="0.35">
      <c r="A32" s="192" t="str">
        <f>HYPERLINK(IF('รวมปกติ+พิเศษ'!$L$1="เปิด", "#'รวมปกติ+พิเศษ'!A" &amp; MATCH("คณะศึกษาศาสตร์", 'รวมปกติ+พิเศษ'!A:A, 0), "#A"&amp;ROW()), IF('รวมปกติ+พิเศษ'!$L$1="เปิด", "กลับรวมปกติ+พิเศษ", ""))</f>
        <v/>
      </c>
      <c r="B32" s="191" t="s">
        <v>97</v>
      </c>
      <c r="C32" s="218">
        <f>HYPERLINK(IF($G$1="เปิด", "#'ปกติ'!" &amp; ADDRESS(ROW(ปกติ!E207), COLUMN(ปกติ!E207), 4) &amp; ":" &amp; ADDRESS(ROW(ปกติ!E209), COLUMN(ปกติ!E209), 4), ""), SUM(ปกติ!E207:E209))</f>
        <v>159.375</v>
      </c>
      <c r="D32" s="218">
        <f>HYPERLINK(IF($G$1="เปิด", "#'ปกติ'!" &amp; ADDRESS(ROW(ปกติ!I207), COLUMN(ปกติ!I207), 4) &amp; ":" &amp; ADDRESS(ROW(ปกติ!I209), COLUMN(ปกติ!I209), 4), ""), SUM(ปกติ!I207:I209))</f>
        <v>144.375</v>
      </c>
      <c r="E32" s="218">
        <f>HYPERLINK(IF($G$1="เปิด", "#'ปกติ'!" &amp; ADDRESS(ROW(ปกติ!M207), COLUMN(ปกติ!M207), 4) &amp; ":" &amp; ADDRESS(ROW(ปกติ!M209), COLUMN(ปกติ!M209), 4), ""), SUM(ปกติ!M207:M209))</f>
        <v>17.25</v>
      </c>
      <c r="F32" s="219">
        <f>HYPERLINK(IF($G$1="เปิด", "#'ปกติ'!" &amp; ADDRESS(ROW(ปกติ!Q207), COLUMN(ปกติ!Q207), 4) &amp; ":" &amp; ADDRESS(ROW(ปกติ!Q209), COLUMN(ปกติ!Q209), 4), ""), SUM(ปกติ!Q207:Q209))</f>
        <v>160.5</v>
      </c>
      <c r="G32" s="220"/>
    </row>
    <row r="33" spans="1:7" ht="21" customHeight="1" x14ac:dyDescent="0.35">
      <c r="A33" s="5" t="str">
        <f>HYPERLINK(IF($G$1="เปิด", "#ปกติ!A" &amp; MATCH("คณะสหเวชศาสตร์", ปกติ!A:A, 0), ""), IF($G$1="เปิด", "คณะสหเวชศาสตร์ (ไปชีทปกติ)", "คณะสหเวชศาสตร์"))</f>
        <v>คณะสหเวชศาสตร์</v>
      </c>
      <c r="B33" s="5" t="s">
        <v>8</v>
      </c>
      <c r="C33" s="121">
        <f>HYPERLINK(IF($G$1="เปิด", "#'ปกติ'!" &amp; ADDRESS(ROW(ปกติ!D211), COLUMN(ปกติ!D211), 4), ""), ปกติ!D211)</f>
        <v>1078.6099999999999</v>
      </c>
      <c r="D33" s="121">
        <f>HYPERLINK(IF($G$1="เปิด", "#'ปกติ'!" &amp; ADDRESS(ROW(ปกติ!H211), COLUMN(ปกติ!H211), 4), ""), ปกติ!H211)</f>
        <v>1038.1099999999999</v>
      </c>
      <c r="E33" s="121">
        <f>HYPERLINK(IF($G$1="เปิด", "#'ปกติ'!" &amp; ADDRESS(ROW(ปกติ!L211), COLUMN(ปกติ!L211), 4), ""), ปกติ!L211)</f>
        <v>14.22</v>
      </c>
      <c r="F33" s="183">
        <f>HYPERLINK(IF($G$1="เปิด", "#'ปกติ'!" &amp; ADDRESS(ROW(ปกติ!P211), COLUMN(ปกติ!P211), 4), ""), ปกติ!P211)</f>
        <v>1065.47</v>
      </c>
      <c r="G33" s="221">
        <f>SUM(F33:F34)</f>
        <v>1084.05</v>
      </c>
    </row>
    <row r="34" spans="1:7" ht="21" customHeight="1" x14ac:dyDescent="0.35">
      <c r="A34" s="192" t="str">
        <f>HYPERLINK(IF('รวมปกติ+พิเศษ'!$L$1="เปิด", "#'รวมปกติ+พิเศษ'!A" &amp; MATCH("คณะสหเวชศาสตร์", 'รวมปกติ+พิเศษ'!A:A, 0), "#A"&amp;ROW()), IF('รวมปกติ+พิเศษ'!$L$1="เปิด", "กลับรวมปกติ+พิเศษ", ""))</f>
        <v/>
      </c>
      <c r="B34" s="191" t="s">
        <v>97</v>
      </c>
      <c r="C34" s="218">
        <f>HYPERLINK(IF($G$1="เปิด", "#'ปกติ'!" &amp; ADDRESS(ROW(ปกติ!E212), COLUMN(ปกติ!E212), 4) &amp; ":" &amp; ADDRESS(ROW(ปกติ!E213), COLUMN(ปกติ!E213), 4), ""), SUM(ปกติ!E212:E213))</f>
        <v>19.25</v>
      </c>
      <c r="D34" s="218">
        <f>HYPERLINK(IF($G$1="เปิด", "#'ปกติ'!" &amp; ADDRESS(ROW(ปกติ!I212), COLUMN(ปกติ!I212), 4) &amp; ":" &amp; ADDRESS(ROW(ปกติ!I213), COLUMN(ปกติ!I213), 4), ""), SUM(ปกติ!I212:I213))</f>
        <v>17.920000000000002</v>
      </c>
      <c r="E34" s="218">
        <f>HYPERLINK(IF($G$1="เปิด", "#'ปกติ'!" &amp; ADDRESS(ROW(ปกติ!M212), COLUMN(ปกติ!M212), 4) &amp; ":" &amp; ADDRESS(ROW(ปกติ!M213), COLUMN(ปกติ!M213), 4), ""), SUM(ปกติ!M212:M213))</f>
        <v>0</v>
      </c>
      <c r="F34" s="219">
        <f>HYPERLINK(IF($G$1="เปิด", "#'ปกติ'!" &amp; ADDRESS(ROW(ปกติ!Q212), COLUMN(ปกติ!Q212), 4) &amp; ":" &amp; ADDRESS(ROW(ปกติ!Q213), COLUMN(ปกติ!Q213), 4), ""), SUM(ปกติ!Q212:Q213))</f>
        <v>18.579999999999998</v>
      </c>
      <c r="G34" s="220"/>
    </row>
    <row r="35" spans="1:7" ht="21" customHeight="1" x14ac:dyDescent="0.35">
      <c r="A35" s="5" t="str">
        <f>HYPERLINK(IF($G$1="เปิด", "#ปกติ!A" &amp; MATCH("คณะสาธารณสุขศาสตร์", ปกติ!A:A, 0), ""), IF($G$1="เปิด", "คณะสาธารณสุขศาสตร์ (ไปชีทปกติ)", "คณะสาธารณสุขศาสตร์"))</f>
        <v>คณะสาธารณสุขศาสตร์</v>
      </c>
      <c r="B35" s="5" t="s">
        <v>8</v>
      </c>
      <c r="C35" s="121">
        <f>HYPERLINK(IF($G$1="เปิด", "#'ปกติ'!" &amp; ADDRESS(ROW(ปกติ!D233), COLUMN(ปกติ!D233), 4), ""), ปกติ!D233)</f>
        <v>1060.8900000000001</v>
      </c>
      <c r="D35" s="121">
        <f>HYPERLINK(IF($G$1="เปิด", "#'ปกติ'!" &amp; ADDRESS(ROW(ปกติ!H233), COLUMN(ปกติ!H233), 4), ""), ปกติ!H233)</f>
        <v>1153</v>
      </c>
      <c r="E35" s="121">
        <f>HYPERLINK(IF($G$1="เปิด", "#'ปกติ'!" &amp; ADDRESS(ROW(ปกติ!L233), COLUMN(ปกติ!L233), 4), ""), ปกติ!L233)</f>
        <v>22.67</v>
      </c>
      <c r="F35" s="183">
        <f>HYPERLINK(IF($G$1="เปิด", "#'ปกติ'!" &amp; ADDRESS(ROW(ปกติ!P233), COLUMN(ปกติ!P233), 4), ""), ปกติ!P233)</f>
        <v>1118.28</v>
      </c>
      <c r="G35" s="221">
        <f>SUM(F35:F36)</f>
        <v>1125.95</v>
      </c>
    </row>
    <row r="36" spans="1:7" ht="21" customHeight="1" x14ac:dyDescent="0.35">
      <c r="A36" s="192" t="str">
        <f>HYPERLINK(IF('รวมปกติ+พิเศษ'!$L$1="เปิด", "#'รวมปกติ+พิเศษ'!A" &amp; MATCH("คณะสาธารณสุขศาสตร์", 'รวมปกติ+พิเศษ'!A:A, 0), "#A"&amp;ROW()), IF('รวมปกติ+พิเศษ'!$L$1="เปิด", "กลับรวมปกติ+พิเศษ", ""))</f>
        <v/>
      </c>
      <c r="B36" s="191" t="s">
        <v>97</v>
      </c>
      <c r="C36" s="218">
        <f>HYPERLINK(IF($G$1="เปิด", "#'ปกติ'!" &amp; ADDRESS(ROW(ปกติ!E234), COLUMN(ปกติ!E234), 4) &amp; ":" &amp; ADDRESS(ROW(ปกติ!E235), COLUMN(ปกติ!E235), 4), ""), SUM(ปกติ!E234:E235))</f>
        <v>6.67</v>
      </c>
      <c r="D36" s="218">
        <f>HYPERLINK(IF($G$1="เปิด", "#'ปกติ'!" &amp; ADDRESS(ROW(ปกติ!I234), COLUMN(ปกติ!I234), 4) &amp; ":" &amp; ADDRESS(ROW(ปกติ!I235), COLUMN(ปกติ!I235), 4), ""), SUM(ปกติ!I234:I235))</f>
        <v>8.67</v>
      </c>
      <c r="E36" s="218">
        <f>HYPERLINK(IF($G$1="เปิด", "#'ปกติ'!" &amp; ADDRESS(ROW(ปกติ!M234), COLUMN(ปกติ!M234), 4) &amp; ":" &amp; ADDRESS(ROW(ปกติ!M235), COLUMN(ปกติ!M235), 4), ""), SUM(ปกติ!M234:M235))</f>
        <v>0</v>
      </c>
      <c r="F36" s="219">
        <f>HYPERLINK(IF($G$1="เปิด", "#'ปกติ'!" &amp; ADDRESS(ROW(ปกติ!Q234), COLUMN(ปกติ!Q234), 4) &amp; ":" &amp; ADDRESS(ROW(ปกติ!Q235), COLUMN(ปกติ!Q235), 4), ""), SUM(ปกติ!Q234:Q235))</f>
        <v>7.67</v>
      </c>
      <c r="G36" s="220"/>
    </row>
    <row r="37" spans="1:7" ht="21" customHeight="1" x14ac:dyDescent="0.35">
      <c r="A37" s="5" t="str">
        <f>HYPERLINK(IF($G$1="เปิด", "#ปกติ!A" &amp; MATCH("วิทยาลัยนานาชาติ", ปกติ!A:A, 0), ""), IF($G$1="เปิด", "วิทยาลัยนานาชาติ (ไปชีทปกติ)", "วิทยาลัยนานาชาติ"))</f>
        <v>วิทยาลัยนานาชาติ</v>
      </c>
      <c r="B37" s="5" t="s">
        <v>8</v>
      </c>
      <c r="C37" s="121">
        <f>HYPERLINK(IF($G$1="เปิด", "#'ปกติ'!" &amp; ADDRESS(ROW(ปกติ!D237), COLUMN(ปกติ!D237), 4), ""), ปกติ!D237)</f>
        <v>646.5</v>
      </c>
      <c r="D37" s="121">
        <f>HYPERLINK(IF($G$1="เปิด", "#'ปกติ'!" &amp; ADDRESS(ROW(ปกติ!H237), COLUMN(ปกติ!H237), 4), ""), ปกติ!H237)</f>
        <v>484.89</v>
      </c>
      <c r="E37" s="121">
        <f>HYPERLINK(IF($G$1="เปิด", "#'ปกติ'!" &amp; ADDRESS(ROW(ปกติ!L237), COLUMN(ปกติ!L237), 4), ""), ปกติ!L237)</f>
        <v>0.67</v>
      </c>
      <c r="F37" s="183">
        <f>HYPERLINK(IF($G$1="เปิด", "#'ปกติ'!" &amp; ADDRESS(ROW(ปกติ!P237), COLUMN(ปกติ!P237), 4), ""), ปกติ!P237)</f>
        <v>566.03</v>
      </c>
      <c r="G37" s="221">
        <f>SUM(F37:F38)</f>
        <v>566.03</v>
      </c>
    </row>
    <row r="38" spans="1:7" ht="21" customHeight="1" x14ac:dyDescent="0.35">
      <c r="A38" s="192" t="str">
        <f>HYPERLINK(IF('รวมปกติ+พิเศษ'!$L$1="เปิด", "#'รวมปกติ+พิเศษ'!A" &amp; MATCH("วิทยาลัยนานาชาติ", 'รวมปกติ+พิเศษ'!A:A, 0), "#A"&amp;ROW()), IF('รวมปกติ+พิเศษ'!$L$1="เปิด", "กลับรวมปกติ+พิเศษ", ""))</f>
        <v/>
      </c>
      <c r="B38" s="191" t="s">
        <v>97</v>
      </c>
      <c r="C38" s="218">
        <f>HYPERLINK(IF($G$1="เปิด", "#'ปกติ'!" &amp; ADDRESS(ROW(ปกติ!E238), COLUMN(ปกติ!E238), 4) &amp; ":" &amp; ADDRESS(ROW(ปกติ!E239), COLUMN(ปกติ!E239), 4), ""), SUM(ปกติ!E238:E239))</f>
        <v>0</v>
      </c>
      <c r="D38" s="218">
        <f>HYPERLINK(IF($G$1="เปิด", "#'ปกติ'!" &amp; ADDRESS(ROW(ปกติ!I238), COLUMN(ปกติ!I238), 4) &amp; ":" &amp; ADDRESS(ROW(ปกติ!I239), COLUMN(ปกติ!I239), 4), ""), SUM(ปกติ!I238:I239))</f>
        <v>0</v>
      </c>
      <c r="E38" s="218">
        <f>HYPERLINK(IF($G$1="เปิด", "#'ปกติ'!" &amp; ADDRESS(ROW(ปกติ!M238), COLUMN(ปกติ!M238), 4) &amp; ":" &amp; ADDRESS(ROW(ปกติ!M239), COLUMN(ปกติ!M239), 4), ""), SUM(ปกติ!M238:M239))</f>
        <v>0</v>
      </c>
      <c r="F38" s="219">
        <f>HYPERLINK(IF($G$1="เปิด", "#'ปกติ'!" &amp; ADDRESS(ROW(ปกติ!Q238), COLUMN(ปกติ!Q238), 4) &amp; ":" &amp; ADDRESS(ROW(ปกติ!Q239), COLUMN(ปกติ!Q239), 4), ""), SUM(ปกติ!Q238:Q239))</f>
        <v>0</v>
      </c>
      <c r="G38" s="220"/>
    </row>
    <row r="39" spans="1:7" ht="21" customHeight="1" x14ac:dyDescent="0.35">
      <c r="A39" s="5" t="str">
        <f>HYPERLINK(IF($G$1="เปิด", "#ปกติ!A" &amp; MATCH("วิทยาลัยวิทยาการวิจัยและวิทยาการปัญญา", ปกติ!A:A, 0), ""), IF($G$1="เปิด", "วิทยาลัยวิทยาการวิจัยและวิทยาการปัญญา (ไปชีทปกติ)", "วิทยาลัยวิทยาการวิจัยและวิทยาการปัญญา"))</f>
        <v>วิทยาลัยวิทยาการวิจัยและวิทยาการปัญญา</v>
      </c>
      <c r="B39" s="5" t="s">
        <v>8</v>
      </c>
      <c r="C39" s="121">
        <f>HYPERLINK(IF($G$1="เปิด", "#'ปกติ'!" &amp; ADDRESS(ROW(ปกติ!D241), COLUMN(ปกติ!D241), 4), ""), ปกติ!D241)</f>
        <v>0</v>
      </c>
      <c r="D39" s="121">
        <f>HYPERLINK(IF($G$1="เปิด", "#'ปกติ'!" &amp; ADDRESS(ROW(ปกติ!H241), COLUMN(ปกติ!H241), 4), ""), ปกติ!H241)</f>
        <v>0</v>
      </c>
      <c r="E39" s="121">
        <f>HYPERLINK(IF($G$1="เปิด", "#'ปกติ'!" &amp; ADDRESS(ROW(ปกติ!L241), COLUMN(ปกติ!L241), 4), ""), ปกติ!L241)</f>
        <v>0</v>
      </c>
      <c r="F39" s="183">
        <f>HYPERLINK(IF($G$1="เปิด", "#'ปกติ'!" &amp; ADDRESS(ROW(ปกติ!P241), COLUMN(ปกติ!P241), 4), ""), ปกติ!P241)</f>
        <v>0</v>
      </c>
      <c r="G39" s="221">
        <f>SUM(F39:F40)</f>
        <v>0</v>
      </c>
    </row>
    <row r="40" spans="1:7" ht="21" customHeight="1" x14ac:dyDescent="0.35">
      <c r="A40" s="192" t="str">
        <f>HYPERLINK(IF('รวมปกติ+พิเศษ'!$L$1="เปิด", "#'รวมปกติ+พิเศษ'!A" &amp; MATCH("วิทยาลัยวิทยาการวิจัยและวิทยาการปัญญา", 'รวมปกติ+พิเศษ'!A:A, 0), "#A"&amp;ROW()), IF('รวมปกติ+พิเศษ'!$L$1="เปิด", "กลับรวมปกติ+พิเศษ", ""))</f>
        <v/>
      </c>
      <c r="B40" s="191" t="s">
        <v>97</v>
      </c>
      <c r="C40" s="218">
        <f>HYPERLINK(IF($G$1="เปิด", "#'ปกติ'!" &amp; ADDRESS(ROW(ปกติ!E242), COLUMN(ปกติ!E242), 4) &amp; ":" &amp; ADDRESS(ROW(ปกติ!E243), COLUMN(ปกติ!E243), 4), ""), SUM(ปกติ!E242:E243))</f>
        <v>0</v>
      </c>
      <c r="D40" s="218">
        <f>HYPERLINK(IF($G$1="เปิด", "#'ปกติ'!" &amp; ADDRESS(ROW(ปกติ!I242), COLUMN(ปกติ!I242), 4) &amp; ":" &amp; ADDRESS(ROW(ปกติ!I243), COLUMN(ปกติ!I243), 4), ""), SUM(ปกติ!I242:I243))</f>
        <v>0</v>
      </c>
      <c r="E40" s="218">
        <f>HYPERLINK(IF($G$1="เปิด", "#'ปกติ'!" &amp; ADDRESS(ROW(ปกติ!M242), COLUMN(ปกติ!M242), 4) &amp; ":" &amp; ADDRESS(ROW(ปกติ!M243), COLUMN(ปกติ!M243), 4), ""), SUM(ปกติ!M242:M243))</f>
        <v>0</v>
      </c>
      <c r="F40" s="219">
        <f>HYPERLINK(IF($G$1="เปิด", "#'ปกติ'!" &amp; ADDRESS(ROW(ปกติ!Q242), COLUMN(ปกติ!Q242), 4) &amp; ":" &amp; ADDRESS(ROW(ปกติ!Q243), COLUMN(ปกติ!Q243), 4), ""), SUM(ปกติ!Q242:Q243))</f>
        <v>0</v>
      </c>
      <c r="G40" s="220"/>
    </row>
    <row r="41" spans="1:7" ht="21" customHeight="1" x14ac:dyDescent="0.35">
      <c r="A41" s="5" t="str">
        <f>HYPERLINK(IF($G$1="เปิด", "#ปกติ!A" &amp; MATCH("สถาบันภาษา", ปกติ!A:A, 0), ""), IF($G$1="เปิด", "สถาบันภาษา (ไปชีทปกติ)", "สถาบันภาษา"))</f>
        <v>สถาบันภาษา</v>
      </c>
      <c r="B41" s="5" t="s">
        <v>8</v>
      </c>
      <c r="C41" s="121">
        <f>HYPERLINK(IF($G$1="เปิด", "#'ปกติ'!" &amp; ADDRESS(ROW(ปกติ!D245), COLUMN(ปกติ!D245), 4), ""), ปกติ!D245)</f>
        <v>1004.17</v>
      </c>
      <c r="D41" s="121">
        <f>HYPERLINK(IF($G$1="เปิด", "#'ปกติ'!" &amp; ADDRESS(ROW(ปกติ!H245), COLUMN(ปกติ!H245), 4), ""), ปกติ!H245)</f>
        <v>955.61</v>
      </c>
      <c r="E41" s="121">
        <f>HYPERLINK(IF($G$1="เปิด", "#'ปกติ'!" &amp; ADDRESS(ROW(ปกติ!L245), COLUMN(ปกติ!L245), 4), ""), ปกติ!L245)</f>
        <v>0</v>
      </c>
      <c r="F41" s="183">
        <f>HYPERLINK(IF($G$1="เปิด", "#'ปกติ'!" &amp; ADDRESS(ROW(ปกติ!P245), COLUMN(ปกติ!P245), 4), ""), ปกติ!P245)</f>
        <v>979.89</v>
      </c>
      <c r="G41" s="221">
        <f>SUM(F41:F42)</f>
        <v>979.89</v>
      </c>
    </row>
    <row r="42" spans="1:7" ht="21" customHeight="1" x14ac:dyDescent="0.35">
      <c r="A42" s="192" t="str">
        <f>HYPERLINK(IF('รวมปกติ+พิเศษ'!$L$1="เปิด", "#'รวมปกติ+พิเศษ'!A" &amp; MATCH("สถาบันภาษา", 'รวมปกติ+พิเศษ'!A:A, 0), "#A"&amp;ROW()), IF('รวมปกติ+พิเศษ'!$L$1="เปิด", "กลับรวมปกติ+พิเศษ", ""))</f>
        <v/>
      </c>
      <c r="B42" s="191" t="s">
        <v>97</v>
      </c>
      <c r="C42" s="218">
        <f>HYPERLINK(IF($G$1="เปิด", "#'ปกติ'!" &amp; ADDRESS(ROW(ปกติ!E246), COLUMN(ปกติ!E246), 4) &amp; ":" &amp; ADDRESS(ROW(ปกติ!E247), COLUMN(ปกติ!E247), 4), ""), SUM(ปกติ!E246:E247))</f>
        <v>0</v>
      </c>
      <c r="D42" s="218">
        <f>HYPERLINK(IF($G$1="เปิด", "#'ปกติ'!" &amp; ADDRESS(ROW(ปกติ!I246), COLUMN(ปกติ!I246), 4) &amp; ":" &amp; ADDRESS(ROW(ปกติ!I247), COLUMN(ปกติ!I247), 4), ""), SUM(ปกติ!I246:I247))</f>
        <v>0</v>
      </c>
      <c r="E42" s="218">
        <f>HYPERLINK(IF($G$1="เปิด", "#'ปกติ'!" &amp; ADDRESS(ROW(ปกติ!M246), COLUMN(ปกติ!M246), 4) &amp; ":" &amp; ADDRESS(ROW(ปกติ!M247), COLUMN(ปกติ!M247), 4), ""), SUM(ปกติ!M246:M247))</f>
        <v>0</v>
      </c>
      <c r="F42" s="219">
        <f>HYPERLINK(IF($G$1="เปิด", "#'ปกติ'!" &amp; ADDRESS(ROW(ปกติ!Q246), COLUMN(ปกติ!Q246), 4) &amp; ":" &amp; ADDRESS(ROW(ปกติ!Q247), COLUMN(ปกติ!Q247), 4), ""), SUM(ปกติ!Q246:Q247))</f>
        <v>0</v>
      </c>
      <c r="G42" s="220"/>
    </row>
    <row r="43" spans="1:7" ht="21" customHeight="1" x14ac:dyDescent="0.35">
      <c r="A43" s="5" t="str">
        <f>HYPERLINK(IF($G$1="เปิด", "#ปกติ!A" &amp; MATCH("คณะเทคโนโลยีทางทะเล", ปกติ!A:A, 0), ""), IF($G$1="เปิด", "คณะเทคโนโลยีทางทะเล (ไปชีทปกติ)", "คณะเทคโนโลยีทางทะเล"))</f>
        <v>คณะเทคโนโลยีทางทะเล</v>
      </c>
      <c r="B43" s="5" t="s">
        <v>8</v>
      </c>
      <c r="C43" s="121">
        <f>HYPERLINK(IF($G$1="เปิด", "#'ปกติ'!" &amp; ADDRESS(ROW(ปกติ!D255), COLUMN(ปกติ!D255), 4), ""), ปกติ!D255)</f>
        <v>147</v>
      </c>
      <c r="D43" s="121">
        <f>HYPERLINK(IF($G$1="เปิด", "#'ปกติ'!" &amp; ADDRESS(ROW(ปกติ!H255), COLUMN(ปกติ!H255), 4), ""), ปกติ!H255)</f>
        <v>121.33</v>
      </c>
      <c r="E43" s="121">
        <f>HYPERLINK(IF($G$1="เปิด", "#'ปกติ'!" &amp; ADDRESS(ROW(ปกติ!L255), COLUMN(ปกติ!L255), 4), ""), ปกติ!L255)</f>
        <v>0.56000000000000005</v>
      </c>
      <c r="F43" s="183">
        <f>HYPERLINK(IF($G$1="เปิด", "#'ปกติ'!" &amp; ADDRESS(ROW(ปกติ!P255), COLUMN(ปกติ!P255), 4), ""), ปกติ!P255)</f>
        <v>134.44</v>
      </c>
      <c r="G43" s="221">
        <f>SUM(F43:F44)</f>
        <v>137.19999999999999</v>
      </c>
    </row>
    <row r="44" spans="1:7" ht="21" customHeight="1" x14ac:dyDescent="0.35">
      <c r="A44" s="192" t="str">
        <f>HYPERLINK(IF('รวมปกติ+พิเศษ'!$L$1="เปิด", "#'รวมปกติ+พิเศษ'!A" &amp; MATCH("คณะเทคโนโลยีทางทะเล", 'รวมปกติ+พิเศษ'!A:A, 0), "#A"&amp;ROW()), IF('รวมปกติ+พิเศษ'!$L$1="เปิด", "กลับรวมปกติ+พิเศษ", ""))</f>
        <v/>
      </c>
      <c r="B44" s="191" t="s">
        <v>97</v>
      </c>
      <c r="C44" s="218">
        <f>HYPERLINK(IF($G$1="เปิด", "#'ปกติ'!" &amp; ADDRESS(ROW(ปกติ!E256), COLUMN(ปกติ!E256), 4) &amp; ":" &amp; ADDRESS(ROW(ปกติ!E257), COLUMN(ปกติ!E257), 4), ""), SUM(ปกติ!E256:E257))</f>
        <v>3.5</v>
      </c>
      <c r="D44" s="218">
        <f>HYPERLINK(IF($G$1="เปิด", "#'ปกติ'!" &amp; ADDRESS(ROW(ปกติ!I256), COLUMN(ปกติ!I256), 4) &amp; ":" &amp; ADDRESS(ROW(ปกติ!I257), COLUMN(ปกติ!I257), 4), ""), SUM(ปกติ!I256:I257))</f>
        <v>1</v>
      </c>
      <c r="E44" s="218">
        <f>HYPERLINK(IF($G$1="เปิด", "#'ปกติ'!" &amp; ADDRESS(ROW(ปกติ!M256), COLUMN(ปกติ!M256), 4) &amp; ":" &amp; ADDRESS(ROW(ปกติ!M257), COLUMN(ปกติ!M257), 4), ""), SUM(ปกติ!M256:M257))</f>
        <v>1</v>
      </c>
      <c r="F44" s="219">
        <f>HYPERLINK(IF($G$1="เปิด", "#'ปกติ'!" &amp; ADDRESS(ROW(ปกติ!Q256), COLUMN(ปกติ!Q256), 4) &amp; ":" &amp; ADDRESS(ROW(ปกติ!Q257), COLUMN(ปกติ!Q257), 4), ""), SUM(ปกติ!Q256:Q257))</f>
        <v>2.76</v>
      </c>
      <c r="G44" s="220"/>
    </row>
    <row r="45" spans="1:7" ht="21" customHeight="1" x14ac:dyDescent="0.35">
      <c r="A45" s="5" t="str">
        <f>HYPERLINK(IF($G$1="เปิด", "#ปกติ!A" &amp; MATCH("คณะวิทยาศาสตร์และศิลปศาสตร์", ปกติ!A:A, 0), ""), IF($G$1="เปิด", "คณะวิทยาศาสตร์และศิลปศาสตร์ (ไปชีทปกติ)", "คณะวิทยาศาสตร์และศิลปศาสตร์"))</f>
        <v>คณะวิทยาศาสตร์และศิลปศาสตร์</v>
      </c>
      <c r="B45" s="5" t="s">
        <v>8</v>
      </c>
      <c r="C45" s="121">
        <f>HYPERLINK(IF($G$1="เปิด", "#'ปกติ'!" &amp; ADDRESS(ROW(ปกติ!D259), COLUMN(ปกติ!D259), 4), ""), ปกติ!D259)</f>
        <v>764.39</v>
      </c>
      <c r="D45" s="121">
        <f>HYPERLINK(IF($G$1="เปิด", "#'ปกติ'!" &amp; ADDRESS(ROW(ปกติ!H259), COLUMN(ปกติ!H259), 4), ""), ปกติ!H259)</f>
        <v>656.06</v>
      </c>
      <c r="E45" s="121">
        <f>HYPERLINK(IF($G$1="เปิด", "#'ปกติ'!" &amp; ADDRESS(ROW(ปกติ!L259), COLUMN(ปกติ!L259), 4), ""), ปกติ!L259)</f>
        <v>3.17</v>
      </c>
      <c r="F45" s="183">
        <f>HYPERLINK(IF($G$1="เปิด", "#'ปกติ'!" &amp; ADDRESS(ROW(ปกติ!P259), COLUMN(ปกติ!P259), 4), ""), ปกติ!P259)</f>
        <v>711.81</v>
      </c>
      <c r="G45" s="221">
        <f>SUM(F45:F46)</f>
        <v>711.81</v>
      </c>
    </row>
    <row r="46" spans="1:7" ht="21" customHeight="1" x14ac:dyDescent="0.35">
      <c r="A46" s="192" t="str">
        <f>HYPERLINK(IF('รวมปกติ+พิเศษ'!$L$1="เปิด", "#'รวมปกติ+พิเศษ'!A" &amp; MATCH("คณะวิทยาศาสตร์และศิลปศาสตร์", 'รวมปกติ+พิเศษ'!A:A, 0), "#A"&amp;ROW()), IF('รวมปกติ+พิเศษ'!$L$1="เปิด", "กลับรวมปกติ+พิเศษ", ""))</f>
        <v/>
      </c>
      <c r="B46" s="191" t="s">
        <v>97</v>
      </c>
      <c r="C46" s="218">
        <f>HYPERLINK(IF($G$1="เปิด", "#'ปกติ'!" &amp; ADDRESS(ROW(ปกติ!E260), COLUMN(ปกติ!E260), 4) &amp; ":" &amp; ADDRESS(ROW(ปกติ!E261), COLUMN(ปกติ!E261), 4), ""), SUM(ปกติ!E260:E261))</f>
        <v>0</v>
      </c>
      <c r="D46" s="218">
        <f>HYPERLINK(IF($G$1="เปิด", "#'ปกติ'!" &amp; ADDRESS(ROW(ปกติ!I260), COLUMN(ปกติ!I260), 4) &amp; ":" &amp; ADDRESS(ROW(ปกติ!I261), COLUMN(ปกติ!I261), 4), ""), SUM(ปกติ!I260:I261))</f>
        <v>0</v>
      </c>
      <c r="E46" s="218">
        <f>HYPERLINK(IF($G$1="เปิด", "#'ปกติ'!" &amp; ADDRESS(ROW(ปกติ!M260), COLUMN(ปกติ!M260), 4) &amp; ":" &amp; ADDRESS(ROW(ปกติ!M261), COLUMN(ปกติ!M261), 4), ""), SUM(ปกติ!M260:M261))</f>
        <v>0</v>
      </c>
      <c r="F46" s="219">
        <f>HYPERLINK(IF($G$1="เปิด", "#'ปกติ'!" &amp; ADDRESS(ROW(ปกติ!Q260), COLUMN(ปกติ!Q260), 4) &amp; ":" &amp; ADDRESS(ROW(ปกติ!Q261), COLUMN(ปกติ!Q261), 4), ""), SUM(ปกติ!Q260:Q261))</f>
        <v>0</v>
      </c>
      <c r="G46" s="220"/>
    </row>
    <row r="47" spans="1:7" ht="21" customHeight="1" x14ac:dyDescent="0.35">
      <c r="A47" s="5" t="str">
        <f>HYPERLINK(IF($G$1="เปิด", "#ปกติ!A" &amp; MATCH("คณะอัญมณี", ปกติ!A:A, 0), ""), IF($G$1="เปิด", "คณะอัญมณี (ไปชีทปกติ)", "คณะอัญมณี"))</f>
        <v>คณะอัญมณี</v>
      </c>
      <c r="B47" s="5" t="s">
        <v>8</v>
      </c>
      <c r="C47" s="121">
        <f>HYPERLINK(IF($G$1="เปิด", "#'ปกติ'!" &amp; ADDRESS(ROW(ปกติ!D263), COLUMN(ปกติ!D263), 4), ""), ปกติ!D263)</f>
        <v>106.67</v>
      </c>
      <c r="D47" s="121">
        <f>HYPERLINK(IF($G$1="เปิด", "#'ปกติ'!" &amp; ADDRESS(ROW(ปกติ!H263), COLUMN(ปกติ!H263), 4), ""), ปกติ!H263)</f>
        <v>109.83</v>
      </c>
      <c r="E47" s="121">
        <f>HYPERLINK(IF($G$1="เปิด", "#'ปกติ'!" &amp; ADDRESS(ROW(ปกติ!L263), COLUMN(ปกติ!L263), 4), ""), ปกติ!L263)</f>
        <v>1.28</v>
      </c>
      <c r="F47" s="183">
        <f>HYPERLINK(IF($G$1="เปิด", "#'ปกติ'!" &amp; ADDRESS(ROW(ปกติ!P263), COLUMN(ปกติ!P263), 4), ""), ปกติ!P263)</f>
        <v>108.89</v>
      </c>
      <c r="G47" s="221">
        <f>SUM(F47:F48)</f>
        <v>108.89</v>
      </c>
    </row>
    <row r="48" spans="1:7" ht="21" customHeight="1" x14ac:dyDescent="0.35">
      <c r="A48" s="192" t="str">
        <f>HYPERLINK(IF('รวมปกติ+พิเศษ'!$L$1="เปิด", "#'รวมปกติ+พิเศษ'!A" &amp; MATCH("คณะอัญมณี", 'รวมปกติ+พิเศษ'!A:A, 0), "#A"&amp;ROW()), IF('รวมปกติ+พิเศษ'!$L$1="เปิด", "กลับรวมปกติ+พิเศษ", ""))</f>
        <v/>
      </c>
      <c r="B48" s="191" t="s">
        <v>97</v>
      </c>
      <c r="C48" s="218">
        <f>HYPERLINK(IF($G$1="เปิด", "#'ปกติ'!" &amp; ADDRESS(ROW(ปกติ!E264), COLUMN(ปกติ!E264), 4) &amp; ":" &amp; ADDRESS(ROW(ปกติ!E265), COLUMN(ปกติ!E265), 4), ""), SUM(ปกติ!E264:E265))</f>
        <v>0</v>
      </c>
      <c r="D48" s="218">
        <f>HYPERLINK(IF($G$1="เปิด", "#'ปกติ'!" &amp; ADDRESS(ROW(ปกติ!I264), COLUMN(ปกติ!I264), 4) &amp; ":" &amp; ADDRESS(ROW(ปกติ!I265), COLUMN(ปกติ!I265), 4), ""), SUM(ปกติ!I264:I265))</f>
        <v>0</v>
      </c>
      <c r="E48" s="218">
        <f>HYPERLINK(IF($G$1="เปิด", "#'ปกติ'!" &amp; ADDRESS(ROW(ปกติ!M264), COLUMN(ปกติ!M264), 4) &amp; ":" &amp; ADDRESS(ROW(ปกติ!M265), COLUMN(ปกติ!M265), 4), ""), SUM(ปกติ!M264:M265))</f>
        <v>0</v>
      </c>
      <c r="F48" s="219">
        <f>HYPERLINK(IF($G$1="เปิด", "#'ปกติ'!" &amp; ADDRESS(ROW(ปกติ!Q264), COLUMN(ปกติ!Q264), 4) &amp; ":" &amp; ADDRESS(ROW(ปกติ!Q265), COLUMN(ปกติ!Q265), 4), ""), SUM(ปกติ!Q264:Q265))</f>
        <v>0</v>
      </c>
      <c r="G48" s="220"/>
    </row>
    <row r="49" spans="1:7" ht="21" customHeight="1" x14ac:dyDescent="0.35">
      <c r="A49" s="5" t="str">
        <f>HYPERLINK(IF($G$1="เปิด", "#ปกติ!A" &amp; MATCH("คณะวิทยาศาสตร์และสังคมศาสตร์", ปกติ!A:A, 0), ""), IF($G$1="เปิด", "คณะวิทยาศาสตร์และสังคมศาสตร์ (ไปชีทปกติ)", "คณะวิทยาศาสตร์และสังคมศาสตร์"))</f>
        <v>คณะวิทยาศาสตร์และสังคมศาสตร์</v>
      </c>
      <c r="B49" s="5" t="s">
        <v>8</v>
      </c>
      <c r="C49" s="121">
        <f>HYPERLINK(IF($G$1="เปิด", "#'ปกติ'!" &amp; ADDRESS(ROW(ปกติ!D272), COLUMN(ปกติ!D272), 4), ""), ปกติ!D272)</f>
        <v>481.33</v>
      </c>
      <c r="D49" s="121">
        <f>HYPERLINK(IF($G$1="เปิด", "#'ปกติ'!" &amp; ADDRESS(ROW(ปกติ!H272), COLUMN(ปกติ!H272), 4), ""), ปกติ!H272)</f>
        <v>342.89</v>
      </c>
      <c r="E49" s="121">
        <f>HYPERLINK(IF($G$1="เปิด", "#'ปกติ'!" &amp; ADDRESS(ROW(ปกติ!L272), COLUMN(ปกติ!L272), 4), ""), ปกติ!L272)</f>
        <v>20.94</v>
      </c>
      <c r="F49" s="183">
        <f>HYPERLINK(IF($G$1="เปิด", "#'ปกติ'!" &amp; ADDRESS(ROW(ปกติ!P272), COLUMN(ปกติ!P272), 4), ""), ปกติ!P272)</f>
        <v>422.58</v>
      </c>
      <c r="G49" s="221">
        <f>SUM(F49:F50)</f>
        <v>422.58</v>
      </c>
    </row>
    <row r="50" spans="1:7" ht="21" customHeight="1" x14ac:dyDescent="0.35">
      <c r="A50" s="192" t="str">
        <f>HYPERLINK(IF('รวมปกติ+พิเศษ'!$L$1="เปิด", "#'รวมปกติ+พิเศษ'!A" &amp; MATCH("คณะวิทยาศาสตร์และสังคมศาสตร์", 'รวมปกติ+พิเศษ'!A:A, 0), "#A"&amp;ROW()), IF('รวมปกติ+พิเศษ'!$L$1="เปิด", "กลับรวมปกติ+พิเศษ", ""))</f>
        <v/>
      </c>
      <c r="B50" s="191" t="s">
        <v>97</v>
      </c>
      <c r="C50" s="218">
        <f>HYPERLINK(IF($G$1="เปิด", "#'ปกติ'!" &amp; ADDRESS(ROW(ปกติ!E273), COLUMN(ปกติ!E273), 4) &amp; ":" &amp; ADDRESS(ROW(ปกติ!E274), COLUMN(ปกติ!E274), 4), ""), SUM(ปกติ!E273:E274))</f>
        <v>0</v>
      </c>
      <c r="D50" s="218">
        <f>HYPERLINK(IF($G$1="เปิด", "#'ปกติ'!" &amp; ADDRESS(ROW(ปกติ!I273), COLUMN(ปกติ!I273), 4) &amp; ":" &amp; ADDRESS(ROW(ปกติ!I274), COLUMN(ปกติ!I274), 4), ""), SUM(ปกติ!I273:I274))</f>
        <v>0</v>
      </c>
      <c r="E50" s="218">
        <f>HYPERLINK(IF($G$1="เปิด", "#'ปกติ'!" &amp; ADDRESS(ROW(ปกติ!M273), COLUMN(ปกติ!M273), 4) &amp; ":" &amp; ADDRESS(ROW(ปกติ!M274), COLUMN(ปกติ!M274), 4), ""), SUM(ปกติ!M273:M274))</f>
        <v>0</v>
      </c>
      <c r="F50" s="219">
        <f>HYPERLINK(IF($G$1="เปิด", "#'ปกติ'!" &amp; ADDRESS(ROW(ปกติ!Q273), COLUMN(ปกติ!Q273), 4) &amp; ":" &amp; ADDRESS(ROW(ปกติ!Q274), COLUMN(ปกติ!Q274), 4), ""), SUM(ปกติ!Q273:Q274))</f>
        <v>0</v>
      </c>
      <c r="G50" s="220"/>
    </row>
    <row r="51" spans="1:7" ht="21" customHeight="1" x14ac:dyDescent="0.35">
      <c r="A51" s="5" t="str">
        <f>HYPERLINK(IF($G$1="เปิด", "#ปกติ!A" &amp; MATCH("คณะเทคโนโลยีการเกษตร", ปกติ!A:A, 0), ""), IF($G$1="เปิด", "คณะเทคโนโลยีการเกษตร (ไปชีทปกติ)", "คณะเทคโนโลยีการเกษตร"))</f>
        <v>คณะเทคโนโลยีการเกษตร</v>
      </c>
      <c r="B51" s="5" t="s">
        <v>8</v>
      </c>
      <c r="C51" s="121">
        <f>HYPERLINK(IF($G$1="เปิด", "#'ปกติ'!" &amp; ADDRESS(ROW(ปกติ!D276), COLUMN(ปกติ!D276), 4), ""), ปกติ!D276)</f>
        <v>32.94</v>
      </c>
      <c r="D51" s="121">
        <f>HYPERLINK(IF($G$1="เปิด", "#'ปกติ'!" &amp; ADDRESS(ROW(ปกติ!H276), COLUMN(ปกติ!H276), 4), ""), ปกติ!H276)</f>
        <v>37.06</v>
      </c>
      <c r="E51" s="121">
        <f>HYPERLINK(IF($G$1="เปิด", "#'ปกติ'!" &amp; ADDRESS(ROW(ปกติ!L276), COLUMN(ปกติ!L276), 4), ""), ปกติ!L276)</f>
        <v>2</v>
      </c>
      <c r="F51" s="183">
        <f>HYPERLINK(IF($G$1="เปิด", "#'ปกติ'!" &amp; ADDRESS(ROW(ปกติ!P276), COLUMN(ปกติ!P276), 4), ""), ปกติ!P276)</f>
        <v>36</v>
      </c>
      <c r="G51" s="221">
        <f>SUM(F51:F52)</f>
        <v>36</v>
      </c>
    </row>
    <row r="52" spans="1:7" ht="21" customHeight="1" x14ac:dyDescent="0.35">
      <c r="A52" s="192" t="str">
        <f>HYPERLINK(IF('รวมปกติ+พิเศษ'!$L$1="เปิด", "#'รวมปกติ+พิเศษ'!A" &amp; MATCH("คณะเทคโนโลยีการเกษตร", 'รวมปกติ+พิเศษ'!A:A, 0), "#A"&amp;ROW()), IF('รวมปกติ+พิเศษ'!$L$1="เปิด", "กลับรวมปกติ+พิเศษ", ""))</f>
        <v/>
      </c>
      <c r="B52" s="191" t="s">
        <v>97</v>
      </c>
      <c r="C52" s="278">
        <f>HYPERLINK(IF($G$1="เปิด", "#'ปกติ'!" &amp; ADDRESS(ROW(ปกติ!E277), COLUMN(ปกติ!E277), 4) &amp; ":" &amp; ADDRESS(ROW(ปกติ!E278), COLUMN(ปกติ!E278), 4), ""), SUM(ปกติ!E277:E278))</f>
        <v>0</v>
      </c>
      <c r="D52" s="278">
        <f>HYPERLINK(IF($G$1="เปิด", "#'ปกติ'!" &amp; ADDRESS(ROW(ปกติ!I277), COLUMN(ปกติ!I277), 4) &amp; ":" &amp; ADDRESS(ROW(ปกติ!I278), COLUMN(ปกติ!I278), 4), ""), SUM(ปกติ!I277:I278))</f>
        <v>0</v>
      </c>
      <c r="E52" s="278">
        <f>HYPERLINK(IF($G$1="เปิด", "#'ปกติ'!" &amp; ADDRESS(ROW(ปกติ!M277), COLUMN(ปกติ!M277), 4) &amp; ":" &amp; ADDRESS(ROW(ปกติ!M278), COLUMN(ปกติ!M278), 4), ""), SUM(ปกติ!M277:M278))</f>
        <v>0</v>
      </c>
      <c r="F52" s="279">
        <f>HYPERLINK(IF($G$1="เปิด", "#'ปกติ'!" &amp; ADDRESS(ROW(ปกติ!Q277), COLUMN(ปกติ!Q277), 4) &amp; ":" &amp; ADDRESS(ROW(ปกติ!Q278), COLUMN(ปกติ!Q278), 4), ""), SUM(ปกติ!Q277:Q278))</f>
        <v>0</v>
      </c>
      <c r="G52" s="220"/>
    </row>
    <row r="53" spans="1:7" ht="21" customHeight="1" x14ac:dyDescent="0.35">
      <c r="A53" s="103" t="s">
        <v>92</v>
      </c>
      <c r="B53" s="103"/>
      <c r="C53" s="15">
        <f>SUM(C3:C52)</f>
        <v>23526.410999999996</v>
      </c>
      <c r="D53" s="15">
        <f>SUM(D3:D52)</f>
        <v>21562.135000000002</v>
      </c>
      <c r="E53" s="15">
        <f>SUM(E3:E52)</f>
        <v>342.77000000000004</v>
      </c>
      <c r="F53" s="15">
        <f>ROUND(SUM(C53:E53)/2,2)</f>
        <v>22715.66</v>
      </c>
      <c r="G53" s="15">
        <f>SUM(G3:G52)</f>
        <v>22715.682000000001</v>
      </c>
    </row>
  </sheetData>
  <conditionalFormatting sqref="A3:A52 C3:F52">
    <cfRule type="expression" dxfId="11" priority="2">
      <formula>$G$1="เปิด"</formula>
    </cfRule>
  </conditionalFormatting>
  <conditionalFormatting sqref="C3:G53">
    <cfRule type="expression" dxfId="9" priority="3">
      <formula>ABS(C3-INT(C3))&lt;0.01</formula>
    </cfRule>
  </conditionalFormatting>
  <conditionalFormatting sqref="G1">
    <cfRule type="expression" dxfId="8" priority="5">
      <formula>$G$1="ปิด"</formula>
    </cfRule>
  </conditionalFormatting>
  <dataValidations count="1">
    <dataValidation type="list" allowBlank="1" showInputMessage="1" showErrorMessage="1" sqref="G1" xr:uid="{EC3DC56C-8546-4DAF-829C-C0E687E0B556}">
      <formula1>"เปิด,ปิด"</formula1>
    </dataValidation>
  </dataValidations>
  <pageMargins left="0.35433070866141736" right="0.23622047244094491" top="0.74803149606299213" bottom="0.74803149606299213" header="0" footer="0"/>
  <pageSetup paperSize="9" orientation="portrait" r:id="rId1"/>
  <headerFooter>
    <oddFooter>&amp;Cหน้า &amp;P /</oddFooter>
  </headerFooter>
  <ignoredErrors>
    <ignoredError sqref="A2 B1 A53:B53 B3:B4 F2:G2 G3:G4 G7:G52 B7:B51 F1 B52" twoDigitTextYear="1"/>
  </ignoredErrors>
  <extLst>
    <ext xmlns:x14="http://schemas.microsoft.com/office/spreadsheetml/2009/9/main" uri="{78C0D931-6437-407d-A8EE-F0AAD7539E65}">
      <x14:conditionalFormattings>
        <x14:conditionalFormatting xmlns:xm="http://schemas.microsoft.com/office/excel/2006/main">
          <x14:cfRule type="expression" priority="1" id="{44D97BC1-0853-44D7-90AF-0CC519177506}">
            <xm:f>'รวมปกติ+พิเศษ'!$L$1="เปิด"</xm:f>
            <x14:dxf>
              <font>
                <color rgb="FF0464C2"/>
              </font>
            </x14:dxf>
          </x14:cfRule>
          <xm:sqref>A4 A6 A8 A10 A12 A14 A16 A18 A20 A22 A24 A26 A28 A30 A32 A34 A36 A38 A40 A42 A44 A46 A48 A50 A52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53"/>
  <sheetViews>
    <sheetView showGridLines="0" zoomScaleNormal="100" workbookViewId="0">
      <pane ySplit="2" topLeftCell="A3" activePane="bottomLeft" state="frozen"/>
      <selection activeCell="A20" sqref="A20"/>
      <selection pane="bottomLeft" activeCell="A3" sqref="A3"/>
    </sheetView>
  </sheetViews>
  <sheetFormatPr defaultColWidth="12.625" defaultRowHeight="21" x14ac:dyDescent="0.35"/>
  <cols>
    <col min="1" max="1" width="30.375" style="4" customWidth="1"/>
    <col min="2" max="2" width="13.875" style="4" customWidth="1"/>
    <col min="3" max="7" width="10.125" style="4" customWidth="1"/>
    <col min="8" max="8" width="12.625" style="4"/>
  </cols>
  <sheetData>
    <row r="1" spans="1:8" ht="21" customHeight="1" x14ac:dyDescent="0.35">
      <c r="A1" s="10" t="s">
        <v>117</v>
      </c>
      <c r="B1" s="10"/>
      <c r="G1" s="111" t="s">
        <v>105</v>
      </c>
      <c r="H1"/>
    </row>
    <row r="2" spans="1:8" ht="21" customHeight="1" x14ac:dyDescent="0.2">
      <c r="A2" s="19" t="s">
        <v>93</v>
      </c>
      <c r="B2" s="19" t="s">
        <v>94</v>
      </c>
      <c r="C2" s="195" t="s">
        <v>119</v>
      </c>
      <c r="D2" s="196" t="s">
        <v>101</v>
      </c>
      <c r="E2" s="195" t="s">
        <v>104</v>
      </c>
      <c r="F2" s="19" t="s">
        <v>95</v>
      </c>
      <c r="G2" s="19" t="s">
        <v>96</v>
      </c>
      <c r="H2"/>
    </row>
    <row r="3" spans="1:8" ht="21" customHeight="1" x14ac:dyDescent="0.35">
      <c r="A3" s="116" t="str">
        <f>HYPERLINK(IF($G$1="เปิด", "#พิเศษ!A" &amp; MATCH("คณะดนตรีและการแสดง", พิเศษ!A:A, 0), ""), IF($G$1="เปิด", "คณะดนตรีและการแสดง (ไปชีทพิเศษ)", "คณะดนตรีและการแสดง"))</f>
        <v>คณะดนตรีและการแสดง</v>
      </c>
      <c r="B3" s="190" t="s">
        <v>8</v>
      </c>
      <c r="C3" s="121">
        <f>HYPERLINK(IF($G$1="เปิด", "#'พิเศษ'!" &amp; ADDRESS(ROW(พิเศษ!D5), COLUMN(พิเศษ!D5), 4), ""), พิเศษ!D5)</f>
        <v>3.06</v>
      </c>
      <c r="D3" s="121">
        <f>HYPERLINK(IF($G$1="เปิด", "#'พิเศษ'!" &amp; ADDRESS(ROW(พิเศษ!H5), COLUMN(พิเศษ!H5), 4), ""), พิเศษ!H5)</f>
        <v>0</v>
      </c>
      <c r="E3" s="121">
        <f>HYPERLINK(IF($G$1="เปิด", "#'พิเศษ'!" &amp; ADDRESS(ROW(พิเศษ!L5), COLUMN(พิเศษ!L5), 4), ""), พิเศษ!L5)</f>
        <v>0</v>
      </c>
      <c r="F3" s="183">
        <f>HYPERLINK(IF($G$1="เปิด", "#'พิเศษ'!" &amp; ADDRESS(ROW(พิเศษ!P5), COLUMN(พิเศษ!P5), 4), ""), พิเศษ!P5)</f>
        <v>1.53</v>
      </c>
      <c r="G3" s="221">
        <f>SUM(F3:F4)</f>
        <v>1.53</v>
      </c>
      <c r="H3"/>
    </row>
    <row r="4" spans="1:8" ht="21" customHeight="1" x14ac:dyDescent="0.35">
      <c r="A4" s="222" t="str">
        <f>HYPERLINK(IF('รวมปกติ+พิเศษ'!$L$1="เปิด", "#'รวมปกติ+พิเศษ'!A" &amp; MATCH("คณะดนตรีและการแสดง", 'รวมปกติ+พิเศษ'!A:A, 0), "#A"&amp;ROW()), IF('รวมปกติ+พิเศษ'!$L$1="เปิด", "กลับรวมปกติ+พิเศษ", ""))</f>
        <v/>
      </c>
      <c r="B4" s="190" t="s">
        <v>97</v>
      </c>
      <c r="C4" s="218">
        <f>HYPERLINK(IF($G$1="เปิด", "#'พิเศษ'!" &amp; ADDRESS(ROW(พิเศษ!E6), COLUMN(พิเศษ!E6), 4) &amp; ":" &amp; ADDRESS(ROW(พิเศษ!E7), COLUMN(พิเศษ!E7), 4), ""), SUM(พิเศษ!E6:E7))</f>
        <v>0</v>
      </c>
      <c r="D4" s="218">
        <f>HYPERLINK(IF($G$1="เปิด", "#'พิเศษ'!" &amp; ADDRESS(ROW(พิเศษ!I6), COLUMN(พิเศษ!I6), 4) &amp; ":" &amp; ADDRESS(ROW(พิเศษ!I7), COLUMN(พิเศษ!I7), 4), ""), SUM(พิเศษ!I6:I7))</f>
        <v>0</v>
      </c>
      <c r="E4" s="218">
        <f>HYPERLINK(IF($G$1="เปิด", "#'พิเศษ'!" &amp; ADDRESS(ROW(พิเศษ!M6), COLUMN(พิเศษ!M6), 4) &amp; ":" &amp; ADDRESS(ROW(พิเศษ!M7), COLUMN(พิเศษ!M7), 4), ""), SUM(พิเศษ!M6:M7))</f>
        <v>0</v>
      </c>
      <c r="F4" s="219">
        <f>HYPERLINK(IF($G$1="เปิด", "#'พิเศษ'!" &amp; ADDRESS(ROW(พิเศษ!Q6), COLUMN(พิเศษ!Q6), 4) &amp; ":" &amp; ADDRESS(ROW(พิเศษ!Q7), COLUMN(พิเศษ!Q7), 4), ""), SUM(พิเศษ!Q6:Q7))</f>
        <v>0</v>
      </c>
      <c r="G4" s="220"/>
      <c r="H4"/>
    </row>
    <row r="5" spans="1:8" ht="21" customHeight="1" x14ac:dyDescent="0.35">
      <c r="A5" s="116" t="str">
        <f>HYPERLINK(IF($G$1="เปิด", "#พิเศษ!A" &amp; MATCH("คณะบริหารธุรกิจ", พิเศษ!A:A, 0), ""), IF($G$1="เปิด", "คณะบริหารธุรกิจ (ไปชีทพิเศษ)", "คณะบริหารธุรกิจ"))</f>
        <v>คณะบริหารธุรกิจ</v>
      </c>
      <c r="B5" s="5" t="s">
        <v>8</v>
      </c>
      <c r="C5" s="121">
        <f>HYPERLINK(IF($G$1="เปิด", "#'พิเศษ'!" &amp; ADDRESS(ROW(พิเศษ!D9), COLUMN(พิเศษ!D9), 4), ""), พิเศษ!D9)</f>
        <v>1477.06</v>
      </c>
      <c r="D5" s="121">
        <f>HYPERLINK(IF($G$1="เปิด", "#'พิเศษ'!" &amp; ADDRESS(ROW(พิเศษ!H9), COLUMN(พิเศษ!H9), 4), ""), พิเศษ!H9)</f>
        <v>1380.5</v>
      </c>
      <c r="E5" s="121">
        <f>HYPERLINK(IF($G$1="เปิด", "#'พิเศษ'!" &amp; ADDRESS(ROW(พิเศษ!L9), COLUMN(พิเศษ!L9), 4), ""), พิเศษ!L9)</f>
        <v>1</v>
      </c>
      <c r="F5" s="183">
        <f>HYPERLINK(IF($G$1="เปิด", "#'พิเศษ'!" &amp; ADDRESS(ROW(พิเศษ!P9), COLUMN(พิเศษ!P9), 4), ""), พิเศษ!P9)</f>
        <v>1429.28</v>
      </c>
      <c r="G5" s="221">
        <f>SUM(F5:F6)</f>
        <v>1607.48</v>
      </c>
      <c r="H5"/>
    </row>
    <row r="6" spans="1:8" ht="21" customHeight="1" x14ac:dyDescent="0.35">
      <c r="A6" s="222" t="str">
        <f>HYPERLINK(IF('รวมปกติ+พิเศษ'!$L$1="เปิด", "#'รวมปกติ+พิเศษ'!A" &amp; MATCH("คณะบริหารธุรกิจ", 'รวมปกติ+พิเศษ'!A:A, 0), "#A"&amp;ROW()), IF('รวมปกติ+พิเศษ'!$L$1="เปิด", "กลับรวมปกติ+พิเศษ", ""))</f>
        <v/>
      </c>
      <c r="B6" s="190" t="s">
        <v>97</v>
      </c>
      <c r="C6" s="218">
        <f>HYPERLINK(IF($G$1="เปิด", "#'พิเศษ'!" &amp; ADDRESS(ROW(พิเศษ!E10), COLUMN(พิเศษ!E10), 4) &amp; ":" &amp; ADDRESS(ROW(พิเศษ!E11), COLUMN(พิเศษ!E11), 4), ""), SUM(พิเศษ!E10:E11))</f>
        <v>189.45000000000002</v>
      </c>
      <c r="D6" s="218">
        <f>HYPERLINK(IF($G$1="เปิด", "#'พิเศษ'!" &amp; ADDRESS(ROW(พิเศษ!I10), COLUMN(พิเศษ!I10), 4) &amp; ":" &amp; ADDRESS(ROW(พิเศษ!I11), COLUMN(พิเศษ!I11), 4), ""), SUM(พิเศษ!I10:I11))</f>
        <v>162.45000000000002</v>
      </c>
      <c r="E6" s="218">
        <f>HYPERLINK(IF($G$1="เปิด", "#'พิเศษ'!" &amp; ADDRESS(ROW(พิเศษ!M10), COLUMN(พิเศษ!M10), 4) &amp; ":" &amp; ADDRESS(ROW(พิเศษ!M11), COLUMN(พิเศษ!M11), 4), ""), SUM(พิเศษ!M10:M11))</f>
        <v>4.5</v>
      </c>
      <c r="F6" s="219">
        <f>HYPERLINK(IF($G$1="เปิด", "#'พิเศษ'!" &amp; ADDRESS(ROW(พิเศษ!Q10), COLUMN(พิเศษ!Q10), 4) &amp; ":" &amp; ADDRESS(ROW(พิเศษ!Q11), COLUMN(พิเศษ!Q11), 4), ""), SUM(พิเศษ!Q10:Q11))</f>
        <v>178.20000000000002</v>
      </c>
      <c r="G6" s="220"/>
      <c r="H6"/>
    </row>
    <row r="7" spans="1:8" ht="21" customHeight="1" x14ac:dyDescent="0.35">
      <c r="A7" s="116" t="str">
        <f>HYPERLINK(IF($G$1="เปิด", "#พิเศษ!A" &amp; MATCH("คณะพยาบาลศาสตร์", พิเศษ!A:A, 0), ""), IF($G$1="เปิด", "คณะพยาบาลศาสตร์ (ไปชีทพิเศษ)", "คณะพยาบาลศาสตร์"))</f>
        <v>คณะพยาบาลศาสตร์</v>
      </c>
      <c r="B7" s="5" t="s">
        <v>8</v>
      </c>
      <c r="C7" s="121">
        <f>HYPERLINK(IF($G$1="เปิด", "#'พิเศษ'!" &amp; ADDRESS(ROW(พิเศษ!D13), COLUMN(พิเศษ!D13), 4), ""), พิเศษ!D13)</f>
        <v>0</v>
      </c>
      <c r="D7" s="121">
        <f>HYPERLINK(IF($G$1="เปิด", "#'พิเศษ'!" &amp; ADDRESS(ROW(พิเศษ!H13), COLUMN(พิเศษ!H13), 4), ""), พิเศษ!H13)</f>
        <v>0</v>
      </c>
      <c r="E7" s="121">
        <f>HYPERLINK(IF($G$1="เปิด", "#'พิเศษ'!" &amp; ADDRESS(ROW(พิเศษ!L13), COLUMN(พิเศษ!L13), 4), ""), พิเศษ!L13)</f>
        <v>0</v>
      </c>
      <c r="F7" s="183">
        <f>HYPERLINK(IF($G$1="เปิด", "#'พิเศษ'!" &amp; ADDRESS(ROW(พิเศษ!P13), COLUMN(พิเศษ!P13), 4), ""), พิเศษ!P13)</f>
        <v>0</v>
      </c>
      <c r="G7" s="221">
        <f>SUM(F7:F8)</f>
        <v>63.21</v>
      </c>
      <c r="H7"/>
    </row>
    <row r="8" spans="1:8" ht="21" customHeight="1" x14ac:dyDescent="0.35">
      <c r="A8" s="222" t="str">
        <f>HYPERLINK(IF('รวมปกติ+พิเศษ'!$L$1="เปิด", "#'รวมปกติ+พิเศษ'!A" &amp; MATCH("คณะพยาบาลศาสตร์", 'รวมปกติ+พิเศษ'!A:A, 0), "#A"&amp;ROW()), IF('รวมปกติ+พิเศษ'!$L$1="เปิด", "กลับรวมปกติ+พิเศษ", ""))</f>
        <v/>
      </c>
      <c r="B8" s="190" t="s">
        <v>97</v>
      </c>
      <c r="C8" s="218">
        <f>HYPERLINK(IF($G$1="เปิด", "#'พิเศษ'!" &amp; ADDRESS(ROW(พิเศษ!E14), COLUMN(พิเศษ!E14), 4) &amp; ":" &amp; ADDRESS(ROW(พิเศษ!E15), COLUMN(พิเศษ!E15), 4), ""), SUM(พิเศษ!E14:E15))</f>
        <v>61.08</v>
      </c>
      <c r="D8" s="218">
        <f>HYPERLINK(IF($G$1="เปิด", "#'พิเศษ'!" &amp; ADDRESS(ROW(พิเศษ!I14), COLUMN(พิเศษ!I14), 4) &amp; ":" &amp; ADDRESS(ROW(พิเศษ!I15), COLUMN(พิเศษ!I15), 4), ""), SUM(พิเศษ!I14:I15))</f>
        <v>65.33</v>
      </c>
      <c r="E8" s="218">
        <f>HYPERLINK(IF($G$1="เปิด", "#'พิเศษ'!" &amp; ADDRESS(ROW(พิเศษ!M14), COLUMN(พิเศษ!M14), 4) &amp; ":" &amp; ADDRESS(ROW(พิเศษ!M15), COLUMN(พิเศษ!M15), 4), ""), SUM(พิเศษ!M14:M15))</f>
        <v>0</v>
      </c>
      <c r="F8" s="219">
        <f>HYPERLINK(IF($G$1="เปิด", "#'พิเศษ'!" &amp; ADDRESS(ROW(พิเศษ!Q14), COLUMN(พิเศษ!Q14), 4) &amp; ":" &amp; ADDRESS(ROW(พิเศษ!Q15), COLUMN(พิเศษ!Q15), 4), ""), SUM(พิเศษ!Q14:Q15))</f>
        <v>63.21</v>
      </c>
      <c r="G8" s="220"/>
      <c r="H8"/>
    </row>
    <row r="9" spans="1:8" ht="21" customHeight="1" x14ac:dyDescent="0.35">
      <c r="A9" s="127" t="str">
        <f>HYPERLINK(IF($G$1="เปิด", "#พิเศษ!A" &amp; MATCH("คณะแพทยศาสตร์", พิเศษ!A:A, 0), ""), IF($G$1="เปิด", "คณะแพทยศาสตร์ (ไปชีทพิเศษ)", "คณะแพทยศาสตร์"))</f>
        <v>คณะแพทยศาสตร์</v>
      </c>
      <c r="B9" s="5" t="s">
        <v>8</v>
      </c>
      <c r="C9" s="121">
        <f>HYPERLINK(IF($G$1="เปิด", "#'พิเศษ'!" &amp; ADDRESS(ROW(พิเศษ!D44), COLUMN(พิเศษ!D44), 4), ""), พิเศษ!D44)</f>
        <v>24.78</v>
      </c>
      <c r="D9" s="121">
        <f>HYPERLINK(IF($G$1="เปิด", "#'พิเศษ'!" &amp; ADDRESS(ROW(พิเศษ!H44), COLUMN(พิเศษ!H44), 4), ""), พิเศษ!H44)</f>
        <v>2.11</v>
      </c>
      <c r="E9" s="121">
        <f>HYPERLINK(IF($G$1="เปิด", "#'พิเศษ'!" &amp; ADDRESS(ROW(พิเศษ!L44), COLUMN(พิเศษ!L44), 4), ""), พิเศษ!L44)</f>
        <v>0</v>
      </c>
      <c r="F9" s="183">
        <f>HYPERLINK(IF($G$1="เปิด", "#'พิเศษ'!" &amp; ADDRESS(ROW(พิเศษ!P44), COLUMN(พิเศษ!P44), 4), ""), พิเศษ!P44)</f>
        <v>13.44</v>
      </c>
      <c r="G9" s="221">
        <f>SUM(F9:F10)</f>
        <v>13.44</v>
      </c>
      <c r="H9"/>
    </row>
    <row r="10" spans="1:8" ht="21" customHeight="1" x14ac:dyDescent="0.35">
      <c r="A10" s="222" t="str">
        <f>HYPERLINK(IF('รวมปกติ+พิเศษ'!$L$1="เปิด", "#'รวมปกติ+พิเศษ'!A" &amp; MATCH("คณะแพทยศาสตร์", 'รวมปกติ+พิเศษ'!A:A, 0), "#A"&amp;ROW()), IF('รวมปกติ+พิเศษ'!$L$1="เปิด", "กลับรวมปกติ+พิเศษ", ""))</f>
        <v/>
      </c>
      <c r="B10" s="190" t="s">
        <v>97</v>
      </c>
      <c r="C10" s="218">
        <f>HYPERLINK(IF($G$1="เปิด", "#'พิเศษ'!" &amp; ADDRESS(ROW(พิเศษ!E45), COLUMN(พิเศษ!E45), 4) &amp; ":" &amp; ADDRESS(ROW(พิเศษ!E46), COLUMN(พิเศษ!E46), 4), ""), SUM(พิเศษ!E45:E46))</f>
        <v>0</v>
      </c>
      <c r="D10" s="218">
        <f>HYPERLINK(IF($G$1="เปิด", "#'พิเศษ'!" &amp; ADDRESS(ROW(พิเศษ!I45), COLUMN(พิเศษ!I45), 4) &amp; ":" &amp; ADDRESS(ROW(พิเศษ!I46), COLUMN(พิเศษ!I46), 4), ""), SUM(พิเศษ!I45:I46))</f>
        <v>0</v>
      </c>
      <c r="E10" s="218">
        <f>HYPERLINK(IF($G$1="เปิด", "#'พิเศษ'!" &amp; ADDRESS(ROW(พิเศษ!M45), COLUMN(พิเศษ!M45), 4) &amp; ":" &amp; ADDRESS(ROW(พิเศษ!M46), COLUMN(พิเศษ!M46), 4), ""), SUM(พิเศษ!M45:M46))</f>
        <v>0</v>
      </c>
      <c r="F10" s="219">
        <f>HYPERLINK(IF($G$1="เปิด", "#'พิเศษ'!" &amp; ADDRESS(ROW(พิเศษ!Q45), COLUMN(พิเศษ!Q45), 4) &amp; ":" &amp; ADDRESS(ROW(พิเศษ!Q46), COLUMN(พิเศษ!Q46), 4), ""), SUM(พิเศษ!Q45:Q46))</f>
        <v>0</v>
      </c>
      <c r="G10" s="220"/>
      <c r="H10"/>
    </row>
    <row r="11" spans="1:8" ht="21" customHeight="1" x14ac:dyDescent="0.35">
      <c r="A11" s="127" t="str">
        <f>HYPERLINK(IF($G$1="เปิด", "#พิเศษ!A" &amp; MATCH("คณะภูมิสารสนเทศศาสตร์", พิเศษ!A:A, 0), ""), IF($G$1="เปิด", "คณะภูมิสารสนเทศศาสตร์ (ไปชีทพิเศษ)", "คณะภูมิสารสนเทศศาสตร์"))</f>
        <v>คณะภูมิสารสนเทศศาสตร์</v>
      </c>
      <c r="B11" s="9" t="s">
        <v>8</v>
      </c>
      <c r="C11" s="121">
        <f>HYPERLINK(IF($G$1="เปิด", "#'พิเศษ'!" &amp; ADDRESS(ROW(พิเศษ!D48), COLUMN(พิเศษ!D48), 4), ""), พิเศษ!D48)</f>
        <v>4.0599999999999996</v>
      </c>
      <c r="D11" s="121">
        <f>HYPERLINK(IF($G$1="เปิด", "#'พิเศษ'!" &amp; ADDRESS(ROW(พิเศษ!H48), COLUMN(พิเศษ!H48), 4), ""), พิเศษ!H48)</f>
        <v>5.67</v>
      </c>
      <c r="E11" s="121">
        <f>HYPERLINK(IF($G$1="เปิด", "#'พิเศษ'!" &amp; ADDRESS(ROW(พิเศษ!L48), COLUMN(พิเศษ!L48), 4), ""), พิเศษ!L48)</f>
        <v>0</v>
      </c>
      <c r="F11" s="183">
        <f>HYPERLINK(IF($G$1="เปิด", "#'พิเศษ'!" &amp; ADDRESS(ROW(พิเศษ!P48), COLUMN(พิเศษ!P48), 4), ""), พิเศษ!P48)</f>
        <v>4.8600000000000003</v>
      </c>
      <c r="G11" s="221">
        <f>SUM(F11:F12)</f>
        <v>4.8600000000000003</v>
      </c>
      <c r="H11"/>
    </row>
    <row r="12" spans="1:8" ht="21" customHeight="1" x14ac:dyDescent="0.35">
      <c r="A12" s="222" t="str">
        <f>HYPERLINK(IF('รวมปกติ+พิเศษ'!$L$1="เปิด", "#'รวมปกติ+พิเศษ'!A" &amp; MATCH("คณะภูมิสารสนเทศศาสตร์", 'รวมปกติ+พิเศษ'!A:A, 0), "#A"&amp;ROW()), IF('รวมปกติ+พิเศษ'!$L$1="เปิด", "กลับรวมปกติ+พิเศษ", ""))</f>
        <v/>
      </c>
      <c r="B12" s="190" t="s">
        <v>97</v>
      </c>
      <c r="C12" s="218">
        <f>HYPERLINK(IF($G$1="เปิด", "#'พิเศษ'!" &amp; ADDRESS(ROW(พิเศษ!E49), COLUMN(พิเศษ!E49), 4) &amp; ":" &amp; ADDRESS(ROW(พิเศษ!E50), COLUMN(พิเศษ!E50), 4), ""), SUM(พิเศษ!E49:E50))</f>
        <v>0</v>
      </c>
      <c r="D12" s="218">
        <f>HYPERLINK(IF($G$1="เปิด", "#'พิเศษ'!" &amp; ADDRESS(ROW(พิเศษ!I49), COLUMN(พิเศษ!I49), 4) &amp; ":" &amp; ADDRESS(ROW(พิเศษ!I50), COLUMN(พิเศษ!I50), 4), ""), SUM(พิเศษ!I49:I50))</f>
        <v>0</v>
      </c>
      <c r="E12" s="218">
        <f>HYPERLINK(IF($G$1="เปิด", "#'พิเศษ'!" &amp; ADDRESS(ROW(พิเศษ!M49), COLUMN(พิเศษ!M49), 4) &amp; ":" &amp; ADDRESS(ROW(พิเศษ!M50), COLUMN(พิเศษ!M50), 4), ""), SUM(พิเศษ!M49:M50))</f>
        <v>0</v>
      </c>
      <c r="F12" s="219">
        <f>HYPERLINK(IF($G$1="เปิด", "#'พิเศษ'!" &amp; ADDRESS(ROW(พิเศษ!Q49), COLUMN(พิเศษ!Q49), 4) &amp; ":" &amp; ADDRESS(ROW(พิเศษ!Q50), COLUMN(พิเศษ!Q50), 4), ""), SUM(พิเศษ!Q49:Q50))</f>
        <v>0</v>
      </c>
      <c r="G12" s="220"/>
      <c r="H12"/>
    </row>
    <row r="13" spans="1:8" ht="21" customHeight="1" x14ac:dyDescent="0.35">
      <c r="A13" s="127" t="str">
        <f>HYPERLINK(IF($G$1="เปิด", "#พิเศษ!A" &amp; MATCH("คณะเภสัชศาสตร์", พิเศษ!A:A, 0), ""), IF($G$1="เปิด", "คณะเภสัชศาสตร์ (ไปชีทพิเศษ)", "คณะเภสัชศาสตร์"))</f>
        <v>คณะเภสัชศาสตร์</v>
      </c>
      <c r="B13" s="9" t="s">
        <v>8</v>
      </c>
      <c r="C13" s="121">
        <f>HYPERLINK(IF($G$1="เปิด", "#'พิเศษ'!" &amp; ADDRESS(ROW(พิเศษ!D52), COLUMN(พิเศษ!D52), 4), ""), พิเศษ!D52)</f>
        <v>30.17</v>
      </c>
      <c r="D13" s="121">
        <f>HYPERLINK(IF($G$1="เปิด", "#'พิเศษ'!" &amp; ADDRESS(ROW(พิเศษ!H52), COLUMN(พิเศษ!H52), 4), ""), พิเศษ!H52)</f>
        <v>2.11</v>
      </c>
      <c r="E13" s="121">
        <f>HYPERLINK(IF($G$1="เปิด", "#'พิเศษ'!" &amp; ADDRESS(ROW(พิเศษ!L52), COLUMN(พิเศษ!L52), 4), ""), พิเศษ!L52)</f>
        <v>0</v>
      </c>
      <c r="F13" s="183">
        <f>HYPERLINK(IF($G$1="เปิด", "#'พิเศษ'!" &amp; ADDRESS(ROW(พิเศษ!P52), COLUMN(พิเศษ!P52), 4), ""), พิเศษ!P52)</f>
        <v>16.14</v>
      </c>
      <c r="G13" s="221">
        <f>SUM(F13:F14)</f>
        <v>16.14</v>
      </c>
      <c r="H13"/>
    </row>
    <row r="14" spans="1:8" ht="21" customHeight="1" x14ac:dyDescent="0.35">
      <c r="A14" s="222" t="str">
        <f>HYPERLINK(IF('รวมปกติ+พิเศษ'!$L$1="เปิด", "#'รวมปกติ+พิเศษ'!A" &amp; MATCH("คณะเภสัชศาสตร์", 'รวมปกติ+พิเศษ'!A:A, 0), "#A"&amp;ROW()), IF('รวมปกติ+พิเศษ'!$L$1="เปิด", "กลับรวมปกติ+พิเศษ", ""))</f>
        <v/>
      </c>
      <c r="B14" s="190" t="s">
        <v>97</v>
      </c>
      <c r="C14" s="218">
        <f>HYPERLINK(IF($G$1="เปิด", "#'พิเศษ'!" &amp; ADDRESS(ROW(พิเศษ!E53), COLUMN(พิเศษ!E53), 4) &amp; ":" &amp; ADDRESS(ROW(พิเศษ!E54), COLUMN(พิเศษ!E54), 4), ""), SUM(พิเศษ!E53:E54))</f>
        <v>0</v>
      </c>
      <c r="D14" s="218">
        <f>HYPERLINK(IF($G$1="เปิด", "#'พิเศษ'!" &amp; ADDRESS(ROW(พิเศษ!I53), COLUMN(พิเศษ!I53), 4) &amp; ":" &amp; ADDRESS(ROW(พิเศษ!I54), COLUMN(พิเศษ!I54), 4), ""), SUM(พิเศษ!I53:I54))</f>
        <v>0</v>
      </c>
      <c r="E14" s="218">
        <f>HYPERLINK(IF($G$1="เปิด", "#'พิเศษ'!" &amp; ADDRESS(ROW(พิเศษ!M53), COLUMN(พิเศษ!M53), 4) &amp; ":" &amp; ADDRESS(ROW(พิเศษ!M54), COLUMN(พิเศษ!M54), 4), ""), SUM(พิเศษ!M53:M54))</f>
        <v>0</v>
      </c>
      <c r="F14" s="219">
        <f>HYPERLINK(IF($G$1="เปิด", "#'พิเศษ'!" &amp; ADDRESS(ROW(พิเศษ!Q53), COLUMN(พิเศษ!Q53), 4) &amp; ":" &amp; ADDRESS(ROW(พิเศษ!Q54), COLUMN(พิเศษ!Q54), 4), ""), SUM(พิเศษ!Q53:Q54))</f>
        <v>0</v>
      </c>
      <c r="G14" s="220"/>
      <c r="H14"/>
    </row>
    <row r="15" spans="1:8" ht="21" customHeight="1" x14ac:dyDescent="0.35">
      <c r="A15" s="127" t="str">
        <f>HYPERLINK(IF($G$1="เปิด", "#พิเศษ!A" &amp; MATCH("คณะมนุษยศาสตร์และสังคมศาสตร์", พิเศษ!A:A, 0), ""), IF($G$1="เปิด", "คณะมนุษยศาสตร์และสังคมศาสตร์ (ไปชีทพิเศษ)", "คณะมนุษยศาสตร์และสังคมศาสตร์"))</f>
        <v>คณะมนุษยศาสตร์และสังคมศาสตร์</v>
      </c>
      <c r="B15" s="5" t="s">
        <v>8</v>
      </c>
      <c r="C15" s="121">
        <f>HYPERLINK(IF($G$1="เปิด", "#'พิเศษ'!" &amp; ADDRESS(ROW(พิเศษ!D89), COLUMN(พิเศษ!D89), 4), ""), พิเศษ!D89)</f>
        <v>274.22000000000003</v>
      </c>
      <c r="D15" s="121">
        <f>HYPERLINK(IF($G$1="เปิด", "#'พิเศษ'!" &amp; ADDRESS(ROW(พิเศษ!H89), COLUMN(พิเศษ!H89), 4), ""), พิเศษ!H89)</f>
        <v>393.44</v>
      </c>
      <c r="E15" s="121">
        <f>HYPERLINK(IF($G$1="เปิด", "#'พิเศษ'!" &amp; ADDRESS(ROW(พิเศษ!L89), COLUMN(พิเศษ!L89), 4), ""), พิเศษ!L89)</f>
        <v>86.5</v>
      </c>
      <c r="F15" s="183">
        <f>HYPERLINK(IF($G$1="เปิด", "#'พิเศษ'!" &amp; ADDRESS(ROW(พิเศษ!P89), COLUMN(พิเศษ!P89), 4), ""), พิเศษ!P89)</f>
        <v>377.08</v>
      </c>
      <c r="G15" s="221">
        <f>SUM(F15:F16)</f>
        <v>402.06399999999996</v>
      </c>
      <c r="H15"/>
    </row>
    <row r="16" spans="1:8" ht="21" customHeight="1" x14ac:dyDescent="0.35">
      <c r="A16" s="222" t="str">
        <f>HYPERLINK(IF('รวมปกติ+พิเศษ'!$L$1="เปิด", "#'รวมปกติ+พิเศษ'!A" &amp; MATCH("คณะมนุษยศาสตร์และสังคมศาสตร์", 'รวมปกติ+พิเศษ'!A:A, 0), "#A"&amp;ROW()), IF('รวมปกติ+พิเศษ'!$L$1="เปิด", "กลับรวมปกติ+พิเศษ", ""))</f>
        <v/>
      </c>
      <c r="B16" s="190" t="s">
        <v>97</v>
      </c>
      <c r="C16" s="218">
        <f>HYPERLINK(IF($G$1="เปิด", "#'พิเศษ'!" &amp; ADDRESS(ROW(พิเศษ!E90), COLUMN(พิเศษ!E90), 4) &amp; ":" &amp; ADDRESS(ROW(พิเศษ!E91), COLUMN(พิเศษ!E91), 4), ""), SUM(พิเศษ!E90:E91))</f>
        <v>21.6</v>
      </c>
      <c r="D16" s="218">
        <f>HYPERLINK(IF($G$1="เปิด", "#'พิเศษ'!" &amp; ADDRESS(ROW(พิเศษ!I90), COLUMN(พิเศษ!I90), 4) &amp; ":" &amp; ADDRESS(ROW(พิเศษ!I91), COLUMN(พิเศษ!I91), 4), ""), SUM(พิเศษ!I90:I91))</f>
        <v>28.35</v>
      </c>
      <c r="E16" s="218">
        <f>HYPERLINK(IF($G$1="เปิด", "#'พิเศษ'!" &amp; ADDRESS(ROW(พิเศษ!M90), COLUMN(พิเศษ!M90), 4) &amp; ":" &amp; ADDRESS(ROW(พิเศษ!M91), COLUMN(พิเศษ!M91), 4), ""), SUM(พิเศษ!M90:M91))</f>
        <v>0</v>
      </c>
      <c r="F16" s="219">
        <f>HYPERLINK(IF($G$1="เปิด", "#'พิเศษ'!" &amp; ADDRESS(ROW(พิเศษ!Q90), COLUMN(พิเศษ!Q90), 4) &amp; ":" &amp; ADDRESS(ROW(พิเศษ!Q91), COLUMN(พิเศษ!Q91), 4), ""), SUM(พิเศษ!Q90:Q91))</f>
        <v>24.984000000000002</v>
      </c>
      <c r="G16" s="220"/>
      <c r="H16"/>
    </row>
    <row r="17" spans="1:8" ht="21" customHeight="1" x14ac:dyDescent="0.35">
      <c r="A17" s="127" t="str">
        <f>HYPERLINK(IF($G$1="เปิด", "#พิเศษ!A" &amp; MATCH("คณะรัฐศาสตร์และนิติศาสตร์", พิเศษ!A:A, 0), ""), IF($G$1="เปิด", "คณะรัฐศาสตร์และนิติศาสตร์ (ไปชีทพิเศษ)", "คณะรัฐศาสตร์และนิติศาสตร์"))</f>
        <v>คณะรัฐศาสตร์และนิติศาสตร์</v>
      </c>
      <c r="B17" s="5" t="s">
        <v>8</v>
      </c>
      <c r="C17" s="121">
        <f>HYPERLINK(IF($G$1="เปิด", "#'พิเศษ'!" &amp; ADDRESS(ROW(พิเศษ!D102), COLUMN(พิเศษ!D102), 4), ""), พิเศษ!D102)</f>
        <v>690.28</v>
      </c>
      <c r="D17" s="121">
        <f>HYPERLINK(IF($G$1="เปิด", "#'พิเศษ'!" &amp; ADDRESS(ROW(พิเศษ!H102), COLUMN(พิเศษ!H102), 4), ""), พิเศษ!H102)</f>
        <v>613.22</v>
      </c>
      <c r="E17" s="121">
        <f>HYPERLINK(IF($G$1="เปิด", "#'พิเศษ'!" &amp; ADDRESS(ROW(พิเศษ!L102), COLUMN(พิเศษ!L102), 4), ""), พิเศษ!L102)</f>
        <v>201.17</v>
      </c>
      <c r="F17" s="183">
        <f>HYPERLINK(IF($G$1="เปิด", "#'พิเศษ'!" &amp; ADDRESS(ROW(พิเศษ!P102), COLUMN(พิเศษ!P102), 4), ""), พิเศษ!P102)</f>
        <v>752.33</v>
      </c>
      <c r="G17" s="221">
        <f>SUM(F17:F18)</f>
        <v>948.69200000000001</v>
      </c>
      <c r="H17"/>
    </row>
    <row r="18" spans="1:8" ht="21" customHeight="1" x14ac:dyDescent="0.35">
      <c r="A18" s="222" t="str">
        <f>HYPERLINK(IF('รวมปกติ+พิเศษ'!$L$1="เปิด", "#'รวมปกติ+พิเศษ'!A" &amp; MATCH("คณะรัฐศาสตร์และนิติศาสตร์", 'รวมปกติ+พิเศษ'!A:A, 0), "#A"&amp;ROW()), IF('รวมปกติ+พิเศษ'!$L$1="เปิด", "กลับรวมปกติ+พิเศษ", ""))</f>
        <v/>
      </c>
      <c r="B18" s="190" t="s">
        <v>97</v>
      </c>
      <c r="C18" s="218">
        <f>HYPERLINK(IF($G$1="เปิด", "#'พิเศษ'!" &amp; ADDRESS(ROW(พิเศษ!E103), COLUMN(พิเศษ!E103), 4) &amp; ":" &amp; ADDRESS(ROW(พิเศษ!E104), COLUMN(พิเศษ!E104), 4), ""), SUM(พิเศษ!E103:E104))</f>
        <v>201.006</v>
      </c>
      <c r="D18" s="218">
        <f>HYPERLINK(IF($G$1="เปิด", "#'พิเศษ'!" &amp; ADDRESS(ROW(พิเศษ!I103), COLUMN(พิเศษ!I103), 4) &amp; ":" &amp; ADDRESS(ROW(พิเศษ!I104), COLUMN(พิเศษ!I104), 4), ""), SUM(พิเศษ!I103:I104))</f>
        <v>159.30000000000001</v>
      </c>
      <c r="E18" s="218">
        <f>HYPERLINK(IF($G$1="เปิด", "#'พิเศษ'!" &amp; ADDRESS(ROW(พิเศษ!M103), COLUMN(พิเศษ!M103), 4) &amp; ":" &amp; ADDRESS(ROW(พิเศษ!M104), COLUMN(พิเศษ!M104), 4), ""), SUM(พิเศษ!M103:M104))</f>
        <v>32.4</v>
      </c>
      <c r="F18" s="219">
        <f>HYPERLINK(IF($G$1="เปิด", "#'พิเศษ'!" &amp; ADDRESS(ROW(พิเศษ!Q103), COLUMN(พิเศษ!Q103), 4) &amp; ":" &amp; ADDRESS(ROW(พิเศษ!Q104), COLUMN(พิเศษ!Q104), 4), ""), SUM(พิเศษ!Q103:Q104))</f>
        <v>196.36199999999999</v>
      </c>
      <c r="G18" s="220"/>
      <c r="H18"/>
    </row>
    <row r="19" spans="1:8" ht="21" customHeight="1" x14ac:dyDescent="0.35">
      <c r="A19" s="127" t="str">
        <f>HYPERLINK(IF($G$1="เปิด", "#พิเศษ!A" &amp; MATCH("คณะโลจิสติกส์", พิเศษ!A:A, 0), ""), IF($G$1="เปิด", "คณะโลจิสติกส์ (ไปชีทพิเศษ)", "คณะโลจิสติกส์"))</f>
        <v>คณะโลจิสติกส์</v>
      </c>
      <c r="B19" s="5" t="s">
        <v>8</v>
      </c>
      <c r="C19" s="121">
        <f>HYPERLINK(IF($G$1="เปิด", "#'พิเศษ'!" &amp; ADDRESS(ROW(พิเศษ!D106), COLUMN(พิเศษ!D106), 4), ""), พิเศษ!D106)</f>
        <v>75.33</v>
      </c>
      <c r="D19" s="121">
        <f>HYPERLINK(IF($G$1="เปิด", "#'พิเศษ'!" &amp; ADDRESS(ROW(พิเศษ!H106), COLUMN(พิเศษ!H106), 4), ""), พิเศษ!H106)</f>
        <v>79.11</v>
      </c>
      <c r="E19" s="121">
        <f>HYPERLINK(IF($G$1="เปิด", "#'พิเศษ'!" &amp; ADDRESS(ROW(พิเศษ!L106), COLUMN(พิเศษ!L106), 4), ""), พิเศษ!L106)</f>
        <v>48.33</v>
      </c>
      <c r="F19" s="183">
        <f>HYPERLINK(IF($G$1="เปิด", "#'พิเศษ'!" &amp; ADDRESS(ROW(พิเศษ!P106), COLUMN(พิเศษ!P106), 4), ""), พิเศษ!P106)</f>
        <v>101.39</v>
      </c>
      <c r="G19" s="221">
        <f>SUM(F19:F20)</f>
        <v>170.31</v>
      </c>
      <c r="H19"/>
    </row>
    <row r="20" spans="1:8" ht="21" customHeight="1" x14ac:dyDescent="0.35">
      <c r="A20" s="222" t="str">
        <f>HYPERLINK(IF('รวมปกติ+พิเศษ'!$L$1="เปิด", "#'รวมปกติ+พิเศษ'!A" &amp; MATCH("คณะโลจิสติกส์", 'รวมปกติ+พิเศษ'!A:A, 0), "#A"&amp;ROW()), IF('รวมปกติ+พิเศษ'!$L$1="เปิด", "กลับรวมปกติ+พิเศษ", ""))</f>
        <v/>
      </c>
      <c r="B20" s="190" t="s">
        <v>97</v>
      </c>
      <c r="C20" s="218">
        <f>HYPERLINK(IF($G$1="เปิด", "#'พิเศษ'!" &amp; ADDRESS(ROW(พิเศษ!E107), COLUMN(พิเศษ!E107), 4) &amp; ":" &amp; ADDRESS(ROW(พิเศษ!E108), COLUMN(พิเศษ!E108), 4), ""), SUM(พิเศษ!E107:E108))</f>
        <v>62.34</v>
      </c>
      <c r="D20" s="218">
        <f>HYPERLINK(IF($G$1="เปิด", "#'พิเศษ'!" &amp; ADDRESS(ROW(พิเศษ!I107), COLUMN(พิเศษ!I107), 4) &amp; ":" &amp; ADDRESS(ROW(พิเศษ!I108), COLUMN(พิเศษ!I108), 4), ""), SUM(พิเศษ!I107:I108))</f>
        <v>60</v>
      </c>
      <c r="E20" s="218">
        <f>HYPERLINK(IF($G$1="เปิด", "#'พิเศษ'!" &amp; ADDRESS(ROW(พิเศษ!M107), COLUMN(พิเศษ!M107), 4) &amp; ":" &amp; ADDRESS(ROW(พิเศษ!M108), COLUMN(พิเศษ!M108), 4), ""), SUM(พิเศษ!M107:M108))</f>
        <v>15.5</v>
      </c>
      <c r="F20" s="219">
        <f>HYPERLINK(IF($G$1="เปิด", "#'พิเศษ'!" &amp; ADDRESS(ROW(พิเศษ!Q107), COLUMN(พิเศษ!Q107), 4) &amp; ":" &amp; ADDRESS(ROW(พิเศษ!Q108), COLUMN(พิเศษ!Q108), 4), ""), SUM(พิเศษ!Q107:Q108))</f>
        <v>68.92</v>
      </c>
      <c r="G20" s="220"/>
      <c r="H20"/>
    </row>
    <row r="21" spans="1:8" ht="21" customHeight="1" x14ac:dyDescent="0.35">
      <c r="A21" s="127" t="str">
        <f>HYPERLINK(IF($G$1="เปิด", "#พิเศษ!A" &amp; MATCH("คณะวิทยาการสารสนเทศ", พิเศษ!A:A, 0), ""), IF($G$1="เปิด", "คณะวิทยาการสารสนเทศ (ไปชีทพิเศษ)", "คณะวิทยาการสารสนเทศ"))</f>
        <v>คณะวิทยาการสารสนเทศ</v>
      </c>
      <c r="B21" s="9" t="s">
        <v>8</v>
      </c>
      <c r="C21" s="121">
        <f>HYPERLINK(IF($G$1="เปิด", "#'พิเศษ'!" &amp; ADDRESS(ROW(พิเศษ!D110), COLUMN(พิเศษ!D110), 4), ""), พิเศษ!D110)</f>
        <v>7.5</v>
      </c>
      <c r="D21" s="121">
        <f>HYPERLINK(IF($G$1="เปิด", "#'พิเศษ'!" &amp; ADDRESS(ROW(พิเศษ!H110), COLUMN(พิเศษ!H110), 4), ""), พิเศษ!H110)</f>
        <v>67.11</v>
      </c>
      <c r="E21" s="121">
        <f>HYPERLINK(IF($G$1="เปิด", "#'พิเศษ'!" &amp; ADDRESS(ROW(พิเศษ!L110), COLUMN(พิเศษ!L110), 4), ""), พิเศษ!L110)</f>
        <v>0</v>
      </c>
      <c r="F21" s="183">
        <f>HYPERLINK(IF($G$1="เปิด", "#'พิเศษ'!" &amp; ADDRESS(ROW(พิเศษ!P110), COLUMN(พิเศษ!P110), 4), ""), พิเศษ!P110)</f>
        <v>37.31</v>
      </c>
      <c r="G21" s="221">
        <f>SUM(F21:F22)</f>
        <v>37.31</v>
      </c>
      <c r="H21"/>
    </row>
    <row r="22" spans="1:8" ht="21" customHeight="1" x14ac:dyDescent="0.35">
      <c r="A22" s="222" t="str">
        <f>HYPERLINK(IF('รวมปกติ+พิเศษ'!$L$1="เปิด", "#'รวมปกติ+พิเศษ'!A" &amp; MATCH("คณะวิทยาการสารสนเทศ", 'รวมปกติ+พิเศษ'!A:A, 0), "#A"&amp;ROW()), IF('รวมปกติ+พิเศษ'!$L$1="เปิด", "กลับรวมปกติ+พิเศษ", ""))</f>
        <v/>
      </c>
      <c r="B22" s="190" t="s">
        <v>97</v>
      </c>
      <c r="C22" s="218">
        <f>HYPERLINK(IF($G$1="เปิด", "#'พิเศษ'!" &amp; ADDRESS(ROW(พิเศษ!E111), COLUMN(พิเศษ!E111), 4) &amp; ":" &amp; ADDRESS(ROW(พิเศษ!E112), COLUMN(พิเศษ!E112), 4), ""), SUM(พิเศษ!E111:E112))</f>
        <v>0</v>
      </c>
      <c r="D22" s="218">
        <f>HYPERLINK(IF($G$1="เปิด", "#'พิเศษ'!" &amp; ADDRESS(ROW(พิเศษ!I111), COLUMN(พิเศษ!I111), 4) &amp; ":" &amp; ADDRESS(ROW(พิเศษ!I112), COLUMN(พิเศษ!I112), 4), ""), SUM(พิเศษ!I111:I112))</f>
        <v>0</v>
      </c>
      <c r="E22" s="218">
        <f>HYPERLINK(IF($G$1="เปิด", "#'พิเศษ'!" &amp; ADDRESS(ROW(พิเศษ!M111), COLUMN(พิเศษ!M111), 4) &amp; ":" &amp; ADDRESS(ROW(พิเศษ!M112), COLUMN(พิเศษ!M112), 4), ""), SUM(พิเศษ!M111:M112))</f>
        <v>0</v>
      </c>
      <c r="F22" s="219">
        <f>HYPERLINK(IF($G$1="เปิด", "#'พิเศษ'!" &amp; ADDRESS(ROW(พิเศษ!Q111), COLUMN(พิเศษ!Q111), 4) &amp; ":" &amp; ADDRESS(ROW(พิเศษ!Q112), COLUMN(พิเศษ!Q112), 4), ""), SUM(พิเศษ!Q111:Q112))</f>
        <v>0</v>
      </c>
      <c r="G22" s="220"/>
      <c r="H22"/>
    </row>
    <row r="23" spans="1:8" ht="21" customHeight="1" x14ac:dyDescent="0.35">
      <c r="A23" s="127" t="str">
        <f>HYPERLINK(IF($G$1="เปิด", "#พิเศษ!A" &amp; MATCH("คณะวิทยาศาสตร์", พิเศษ!A:A, 0), ""), IF($G$1="เปิด", "คณะวิทยาศาสตร์ (ไปชีทพิเศษ)", "คณะวิทยาศาสตร์"))</f>
        <v>คณะวิทยาศาสตร์</v>
      </c>
      <c r="B23" s="5" t="s">
        <v>8</v>
      </c>
      <c r="C23" s="121">
        <f>HYPERLINK(IF($G$1="เปิด", "#'พิเศษ'!" &amp; ADDRESS(ROW(พิเศษ!D144), COLUMN(พิเศษ!D144), 4), ""), พิเศษ!D144)</f>
        <v>235.67</v>
      </c>
      <c r="D23" s="121">
        <f>HYPERLINK(IF($G$1="เปิด", "#'พิเศษ'!" &amp; ADDRESS(ROW(พิเศษ!H144), COLUMN(พิเศษ!H144), 4), ""), พิเศษ!H144)</f>
        <v>108.17</v>
      </c>
      <c r="E23" s="121">
        <f>HYPERLINK(IF($G$1="เปิด", "#'พิเศษ'!" &amp; ADDRESS(ROW(พิเศษ!L144), COLUMN(พิเศษ!L144), 4), ""), พิเศษ!L144)</f>
        <v>0</v>
      </c>
      <c r="F23" s="183">
        <f>HYPERLINK(IF($G$1="เปิด", "#'พิเศษ'!" &amp; ADDRESS(ROW(พิเศษ!P144), COLUMN(พิเศษ!P144), 4), ""), พิเศษ!P144)</f>
        <v>171.92</v>
      </c>
      <c r="G23" s="221">
        <f>SUM(F23:F24)</f>
        <v>178.07999999999998</v>
      </c>
      <c r="H23"/>
    </row>
    <row r="24" spans="1:8" ht="21" customHeight="1" x14ac:dyDescent="0.35">
      <c r="A24" s="222" t="str">
        <f>HYPERLINK(IF('รวมปกติ+พิเศษ'!$L$1="เปิด", "#'รวมปกติ+พิเศษ'!A" &amp; MATCH("คณะวิทยาศาสตร์", 'รวมปกติ+พิเศษ'!A:A, 0), "#A"&amp;ROW()), IF('รวมปกติ+พิเศษ'!$L$1="เปิด", "กลับรวมปกติ+พิเศษ", ""))</f>
        <v/>
      </c>
      <c r="B24" s="190" t="s">
        <v>97</v>
      </c>
      <c r="C24" s="218">
        <f>HYPERLINK(IF($G$1="เปิด", "#'พิเศษ'!" &amp; ADDRESS(ROW(พิเศษ!E145), COLUMN(พิเศษ!E145), 4) &amp; ":" &amp; ADDRESS(ROW(พิเศษ!E146), COLUMN(พิเศษ!E146), 4), ""), SUM(พิเศษ!E145:E146))</f>
        <v>0.84</v>
      </c>
      <c r="D24" s="218">
        <f>HYPERLINK(IF($G$1="เปิด", "#'พิเศษ'!" &amp; ADDRESS(ROW(พิเศษ!I145), COLUMN(พิเศษ!I145), 4) &amp; ":" &amp; ADDRESS(ROW(พิเศษ!I146), COLUMN(พิเศษ!I146), 4), ""), SUM(พิเศษ!I145:I146))</f>
        <v>1.5</v>
      </c>
      <c r="E24" s="218">
        <f>HYPERLINK(IF($G$1="เปิด", "#'พิเศษ'!" &amp; ADDRESS(ROW(พิเศษ!M145), COLUMN(พิเศษ!M145), 4) &amp; ":" &amp; ADDRESS(ROW(พิเศษ!M146), COLUMN(พิเศษ!M146), 4), ""), SUM(พิเศษ!M145:M146))</f>
        <v>10</v>
      </c>
      <c r="F24" s="219">
        <f>HYPERLINK(IF($G$1="เปิด", "#'พิเศษ'!" &amp; ADDRESS(ROW(พิเศษ!Q145), COLUMN(พิเศษ!Q145), 4) &amp; ":" &amp; ADDRESS(ROW(พิเศษ!Q146), COLUMN(พิเศษ!Q146), 4), ""), SUM(พิเศษ!Q145:Q146))</f>
        <v>6.16</v>
      </c>
      <c r="G24" s="220"/>
      <c r="H24"/>
    </row>
    <row r="25" spans="1:8" ht="21" customHeight="1" x14ac:dyDescent="0.35">
      <c r="A25" s="127" t="str">
        <f>HYPERLINK(IF($G$1="เปิด", "#พิเศษ!A" &amp; MATCH("คณะวิทยาศาสตร์การกีฬา", พิเศษ!A:A, 0), ""), IF($G$1="เปิด", "คณะวิทยาศาสตร์การกีฬา (ไปชีทพิเศษ)", "คณะวิทยาศาสตร์การกีฬา"))</f>
        <v>คณะวิทยาศาสตร์การกีฬา</v>
      </c>
      <c r="B25" s="5" t="s">
        <v>8</v>
      </c>
      <c r="C25" s="121">
        <f>HYPERLINK(IF($G$1="เปิด", "#'พิเศษ'!" &amp; ADDRESS(ROW(พิเศษ!D148), COLUMN(พิเศษ!D148), 4), ""), พิเศษ!D148)</f>
        <v>30.06</v>
      </c>
      <c r="D25" s="121">
        <f>HYPERLINK(IF($G$1="เปิด", "#'พิเศษ'!" &amp; ADDRESS(ROW(พิเศษ!H148), COLUMN(พิเศษ!H148), 4), ""), พิเศษ!H148)</f>
        <v>9.7200000000000006</v>
      </c>
      <c r="E25" s="121">
        <f>HYPERLINK(IF($G$1="เปิด", "#'พิเศษ'!" &amp; ADDRESS(ROW(พิเศษ!L148), COLUMN(พิเศษ!L148), 4), ""), พิเศษ!L148)</f>
        <v>0</v>
      </c>
      <c r="F25" s="183">
        <f>HYPERLINK(IF($G$1="เปิด", "#'พิเศษ'!" &amp; ADDRESS(ROW(พิเศษ!P148), COLUMN(พิเศษ!P148), 4), ""), พิเศษ!P148)</f>
        <v>19.89</v>
      </c>
      <c r="G25" s="221">
        <f>SUM(F25:F26)</f>
        <v>19.89</v>
      </c>
      <c r="H25"/>
    </row>
    <row r="26" spans="1:8" ht="21" customHeight="1" x14ac:dyDescent="0.35">
      <c r="A26" s="222" t="str">
        <f>HYPERLINK(IF('รวมปกติ+พิเศษ'!$L$1="เปิด", "#'รวมปกติ+พิเศษ'!A" &amp; MATCH("คณะวิทยาศาสตร์การกีฬา", 'รวมปกติ+พิเศษ'!A:A, 0), "#A"&amp;ROW()), IF('รวมปกติ+พิเศษ'!$L$1="เปิด", "กลับรวมปกติ+พิเศษ", ""))</f>
        <v/>
      </c>
      <c r="B26" s="190" t="s">
        <v>97</v>
      </c>
      <c r="C26" s="218">
        <f>HYPERLINK(IF($G$1="เปิด", "#'พิเศษ'!" &amp; ADDRESS(ROW(พิเศษ!E149), COLUMN(พิเศษ!E149), 4) &amp; ":" &amp; ADDRESS(ROW(พิเศษ!E150), COLUMN(พิเศษ!E150), 4), ""), SUM(พิเศษ!E149:E150))</f>
        <v>0</v>
      </c>
      <c r="D26" s="218">
        <f>HYPERLINK(IF($G$1="เปิด", "#'พิเศษ'!" &amp; ADDRESS(ROW(พิเศษ!I149), COLUMN(พิเศษ!I149), 4) &amp; ":" &amp; ADDRESS(ROW(พิเศษ!I150), COLUMN(พิเศษ!I150), 4), ""), SUM(พิเศษ!I149:I150))</f>
        <v>0</v>
      </c>
      <c r="E26" s="218">
        <f>HYPERLINK(IF($G$1="เปิด", "#'พิเศษ'!" &amp; ADDRESS(ROW(พิเศษ!M149), COLUMN(พิเศษ!M149), 4) &amp; ":" &amp; ADDRESS(ROW(พิเศษ!M150), COLUMN(พิเศษ!M150), 4), ""), SUM(พิเศษ!M149:M150))</f>
        <v>0</v>
      </c>
      <c r="F26" s="219">
        <f>HYPERLINK(IF($G$1="เปิด", "#'พิเศษ'!" &amp; ADDRESS(ROW(พิเศษ!Q149), COLUMN(พิเศษ!Q149), 4) &amp; ":" &amp; ADDRESS(ROW(พิเศษ!Q150), COLUMN(พิเศษ!Q150), 4), ""), SUM(พิเศษ!Q149:Q150))</f>
        <v>0</v>
      </c>
      <c r="G26" s="220"/>
      <c r="H26"/>
    </row>
    <row r="27" spans="1:8" ht="21" customHeight="1" x14ac:dyDescent="0.35">
      <c r="A27" s="127" t="str">
        <f>HYPERLINK(IF($G$1="เปิด", "#พิเศษ!A" &amp; MATCH("คณะวิศวกรรมศาสตร์", พิเศษ!A:A, 0), ""), IF($G$1="เปิด", "คณะวิศวกรรมศาสตร์ (ไปชีทพิเศษ)", "คณะวิศวกรรมศาสตร์"))</f>
        <v>คณะวิศวกรรมศาสตร์</v>
      </c>
      <c r="B27" s="5" t="s">
        <v>8</v>
      </c>
      <c r="C27" s="121">
        <f>HYPERLINK(IF($G$1="เปิด", "#'พิเศษ'!" &amp; ADDRESS(ROW(พิเศษ!D170), COLUMN(พิเศษ!D170), 4), ""), พิเศษ!D170)</f>
        <v>16.78</v>
      </c>
      <c r="D27" s="121">
        <f>HYPERLINK(IF($G$1="เปิด", "#'พิเศษ'!" &amp; ADDRESS(ROW(พิเศษ!H170), COLUMN(พิเศษ!H170), 4), ""), พิเศษ!H170)</f>
        <v>28.61</v>
      </c>
      <c r="E27" s="121">
        <f>HYPERLINK(IF($G$1="เปิด", "#'พิเศษ'!" &amp; ADDRESS(ROW(พิเศษ!L170), COLUMN(พิเศษ!L170), 4), ""), พิเศษ!L170)</f>
        <v>0</v>
      </c>
      <c r="F27" s="183">
        <f>HYPERLINK(IF($G$1="เปิด", "#'พิเศษ'!" &amp; ADDRESS(ROW(พิเศษ!P170), COLUMN(พิเศษ!P170), 4), ""), พิเศษ!P170)</f>
        <v>22.69</v>
      </c>
      <c r="G27" s="221">
        <f>SUM(F27:F28)</f>
        <v>40.69</v>
      </c>
      <c r="H27"/>
    </row>
    <row r="28" spans="1:8" ht="21" customHeight="1" x14ac:dyDescent="0.35">
      <c r="A28" s="222" t="str">
        <f>HYPERLINK(IF('รวมปกติ+พิเศษ'!$L$1="เปิด", "#'รวมปกติ+พิเศษ'!A" &amp; MATCH("คณะวิศวกรรมศาสตร์", 'รวมปกติ+พิเศษ'!A:A, 0), "#A"&amp;ROW()), IF('รวมปกติ+พิเศษ'!$L$1="เปิด", "กลับรวมปกติ+พิเศษ", ""))</f>
        <v/>
      </c>
      <c r="B28" s="190" t="s">
        <v>97</v>
      </c>
      <c r="C28" s="218">
        <f>HYPERLINK(IF($G$1="เปิด", "#'พิเศษ'!" &amp; ADDRESS(ROW(พิเศษ!E171), COLUMN(พิเศษ!E171), 4) &amp; ":" &amp; ADDRESS(ROW(พิเศษ!E172), COLUMN(พิเศษ!E172), 4), ""), SUM(พิเศษ!E171:E172))</f>
        <v>20.5</v>
      </c>
      <c r="D28" s="218">
        <f>HYPERLINK(IF($G$1="เปิด", "#'พิเศษ'!" &amp; ADDRESS(ROW(พิเศษ!I171), COLUMN(พิเศษ!I171), 4) &amp; ":" &amp; ADDRESS(ROW(พิเศษ!I172), COLUMN(พิเศษ!I172), 4), ""), SUM(พิเศษ!I171:I172))</f>
        <v>15.5</v>
      </c>
      <c r="E28" s="218">
        <f>HYPERLINK(IF($G$1="เปิด", "#'พิเศษ'!" &amp; ADDRESS(ROW(พิเศษ!M171), COLUMN(พิเศษ!M171), 4) &amp; ":" &amp; ADDRESS(ROW(พิเศษ!M172), COLUMN(พิเศษ!M172), 4), ""), SUM(พิเศษ!M171:M172))</f>
        <v>0</v>
      </c>
      <c r="F28" s="219">
        <f>HYPERLINK(IF($G$1="เปิด", "#'พิเศษ'!" &amp; ADDRESS(ROW(พิเศษ!Q171), COLUMN(พิเศษ!Q171), 4) &amp; ":" &amp; ADDRESS(ROW(พิเศษ!Q172), COLUMN(พิเศษ!Q172), 4), ""), SUM(พิเศษ!Q171:Q172))</f>
        <v>18</v>
      </c>
      <c r="G28" s="220"/>
      <c r="H28"/>
    </row>
    <row r="29" spans="1:8" ht="21" customHeight="1" x14ac:dyDescent="0.35">
      <c r="A29" s="127" t="str">
        <f>HYPERLINK(IF($G$1="เปิด", "#พิเศษ!A" &amp; MATCH("คณะศิลปกรรมศาสตร์", พิเศษ!A:A, 0), ""), IF($G$1="เปิด", "คณะศิลปกรรมศาสตร์ (ไปชีทพิเศษ)", "คณะศิลปกรรมศาสตร์"))</f>
        <v>คณะศิลปกรรมศาสตร์</v>
      </c>
      <c r="B29" s="5" t="s">
        <v>8</v>
      </c>
      <c r="C29" s="121">
        <f>HYPERLINK(IF($G$1="เปิด", "#'พิเศษ'!" &amp; ADDRESS(ROW(พิเศษ!D174), COLUMN(พิเศษ!D174), 4), ""), พิเศษ!D174)</f>
        <v>63.44</v>
      </c>
      <c r="D29" s="121">
        <f>HYPERLINK(IF($G$1="เปิด", "#'พิเศษ'!" &amp; ADDRESS(ROW(พิเศษ!H174), COLUMN(พิเศษ!H174), 4), ""), พิเศษ!H174)</f>
        <v>66.94</v>
      </c>
      <c r="E29" s="121">
        <f>HYPERLINK(IF($G$1="เปิด", "#'พิเศษ'!" &amp; ADDRESS(ROW(พิเศษ!L174), COLUMN(พิเศษ!L174), 4), ""), พิเศษ!L174)</f>
        <v>28.67</v>
      </c>
      <c r="F29" s="183">
        <f>HYPERLINK(IF($G$1="เปิด", "#'พิเศษ'!" &amp; ADDRESS(ROW(พิเศษ!P174), COLUMN(พิเศษ!P174), 4), ""), พิเศษ!P174)</f>
        <v>79.53</v>
      </c>
      <c r="G29" s="221">
        <f>SUM(F29:F30)</f>
        <v>79.53</v>
      </c>
      <c r="H29"/>
    </row>
    <row r="30" spans="1:8" ht="21" customHeight="1" x14ac:dyDescent="0.35">
      <c r="A30" s="222" t="str">
        <f>HYPERLINK(IF('รวมปกติ+พิเศษ'!$L$1="เปิด", "#'รวมปกติ+พิเศษ'!A" &amp; MATCH("คณะศิลปกรรมศาสตร์", 'รวมปกติ+พิเศษ'!A:A, 0), "#A"&amp;ROW()), IF('รวมปกติ+พิเศษ'!$L$1="เปิด", "กลับรวมปกติ+พิเศษ", ""))</f>
        <v/>
      </c>
      <c r="B30" s="190" t="s">
        <v>97</v>
      </c>
      <c r="C30" s="218">
        <f>HYPERLINK(IF($G$1="เปิด", "#'พิเศษ'!" &amp; ADDRESS(ROW(พิเศษ!E175), COLUMN(พิเศษ!E175), 4) &amp; ":" &amp; ADDRESS(ROW(พิเศษ!E176), COLUMN(พิเศษ!E176), 4), ""), SUM(พิเศษ!E175:E176))</f>
        <v>0</v>
      </c>
      <c r="D30" s="218">
        <f>HYPERLINK(IF($G$1="เปิด", "#'พิเศษ'!" &amp; ADDRESS(ROW(พิเศษ!I175), COLUMN(พิเศษ!I175), 4) &amp; ":" &amp; ADDRESS(ROW(พิเศษ!I176), COLUMN(พิเศษ!I176), 4), ""), SUM(พิเศษ!I175:I176))</f>
        <v>0</v>
      </c>
      <c r="E30" s="218">
        <f>HYPERLINK(IF($G$1="เปิด", "#'พิเศษ'!" &amp; ADDRESS(ROW(พิเศษ!M175), COLUMN(พิเศษ!M175), 4) &amp; ":" &amp; ADDRESS(ROW(พิเศษ!M176), COLUMN(พิเศษ!M176), 4), ""), SUM(พิเศษ!M175:M176))</f>
        <v>0</v>
      </c>
      <c r="F30" s="219">
        <f>HYPERLINK(IF($G$1="เปิด", "#'พิเศษ'!" &amp; ADDRESS(ROW(พิเศษ!Q175), COLUMN(พิเศษ!Q175), 4) &amp; ":" &amp; ADDRESS(ROW(พิเศษ!Q176), COLUMN(พิเศษ!Q176), 4), ""), SUM(พิเศษ!Q175:Q176))</f>
        <v>0</v>
      </c>
      <c r="G30" s="220"/>
      <c r="H30"/>
    </row>
    <row r="31" spans="1:8" ht="21" customHeight="1" x14ac:dyDescent="0.35">
      <c r="A31" s="127" t="str">
        <f>HYPERLINK(IF($G$1="เปิด", "#พิเศษ!A" &amp; MATCH("คณะศึกษาศาสตร์", พิเศษ!A:A, 0), ""), IF($G$1="เปิด", "คณะศึกษาศาสตร์ (ไปชีทพิเศษ)", "คณะศึกษาศาสตร์"))</f>
        <v>คณะศึกษาศาสตร์</v>
      </c>
      <c r="B31" s="9" t="s">
        <v>8</v>
      </c>
      <c r="C31" s="121">
        <f>HYPERLINK(IF($G$1="เปิด", "#'พิเศษ'!" &amp; ADDRESS(ROW(พิเศษ!D206), COLUMN(พิเศษ!D206), 4), ""), พิเศษ!D206)</f>
        <v>327.39</v>
      </c>
      <c r="D31" s="121">
        <f>HYPERLINK(IF($G$1="เปิด", "#'พิเศษ'!" &amp; ADDRESS(ROW(พิเศษ!H206), COLUMN(พิเศษ!H206), 4), ""), พิเศษ!H206)</f>
        <v>185.17</v>
      </c>
      <c r="E31" s="121">
        <f>HYPERLINK(IF($G$1="เปิด", "#'พิเศษ'!" &amp; ADDRESS(ROW(พิเศษ!L206), COLUMN(พิเศษ!L206), 4), ""), พิเศษ!L206)</f>
        <v>67.39</v>
      </c>
      <c r="F31" s="183">
        <f>HYPERLINK(IF($G$1="เปิด", "#'พิเศษ'!" &amp; ADDRESS(ROW(พิเศษ!P206), COLUMN(พิเศษ!P206), 4), ""), พิเศษ!P206)</f>
        <v>289.97000000000003</v>
      </c>
      <c r="G31" s="221">
        <f>SUM(F31:F32)</f>
        <v>841.1</v>
      </c>
      <c r="H31"/>
    </row>
    <row r="32" spans="1:8" ht="21" customHeight="1" x14ac:dyDescent="0.35">
      <c r="A32" s="222" t="str">
        <f>HYPERLINK(IF('รวมปกติ+พิเศษ'!$L$1="เปิด", "#'รวมปกติ+พิเศษ'!A" &amp; MATCH("คณะศึกษาศาสตร์", 'รวมปกติ+พิเศษ'!A:A, 0), "#A"&amp;ROW()), IF('รวมปกติ+พิเศษ'!$L$1="เปิด", "กลับรวมปกติ+พิเศษ", ""))</f>
        <v/>
      </c>
      <c r="B32" s="190" t="s">
        <v>97</v>
      </c>
      <c r="C32" s="218">
        <f>HYPERLINK(IF($G$1="เปิด", "#'พิเศษ'!" &amp; ADDRESS(ROW(พิเศษ!E207), COLUMN(พิเศษ!E207), 4) &amp; ":" &amp; ADDRESS(ROW(พิเศษ!E209), COLUMN(พิเศษ!E209), 4), ""), SUM(พิเศษ!E207:E209))</f>
        <v>449.88</v>
      </c>
      <c r="D32" s="218">
        <f>HYPERLINK(IF($G$1="เปิด", "#'พิเศษ'!" &amp; ADDRESS(ROW(พิเศษ!I207), COLUMN(พิเศษ!I207), 4) &amp; ":" &amp; ADDRESS(ROW(พิเศษ!I209), COLUMN(พิเศษ!I209), 4), ""), SUM(พิเศษ!I207:I209))</f>
        <v>500.625</v>
      </c>
      <c r="E32" s="218">
        <f>HYPERLINK(IF($G$1="เปิด", "#'พิเศษ'!" &amp; ADDRESS(ROW(พิเศษ!M207), COLUMN(พิเศษ!M207), 4) &amp; ":" &amp; ADDRESS(ROW(พิเศษ!M209), COLUMN(พิเศษ!M209), 4), ""), SUM(พิเศษ!M207:M209))</f>
        <v>151.755</v>
      </c>
      <c r="F32" s="219">
        <f>HYPERLINK(IF($G$1="เปิด", "#'พิเศษ'!" &amp; ADDRESS(ROW(พิเศษ!Q207), COLUMN(พิเศษ!Q207), 4) &amp; ":" &amp; ADDRESS(ROW(พิเศษ!Q209), COLUMN(พิเศษ!Q209), 4), ""), SUM(พิเศษ!Q207:Q209))</f>
        <v>551.13</v>
      </c>
      <c r="G32" s="220"/>
      <c r="H32"/>
    </row>
    <row r="33" spans="1:8" ht="21" customHeight="1" x14ac:dyDescent="0.35">
      <c r="A33" s="127" t="str">
        <f>HYPERLINK(IF($G$1="เปิด", "#พิเศษ!A" &amp; MATCH("คณะสหเวชศาสตร์", พิเศษ!A:A, 0), ""), IF($G$1="เปิด", "คณะสหเวชศาสตร์ (ไปชีทพิเศษ)", "คณะสหเวชศาสตร์"))</f>
        <v>คณะสหเวชศาสตร์</v>
      </c>
      <c r="B33" s="5" t="s">
        <v>8</v>
      </c>
      <c r="C33" s="121">
        <f>HYPERLINK(IF($G$1="เปิด", "#'พิเศษ'!" &amp; ADDRESS(ROW(พิเศษ!D211), COLUMN(พิเศษ!D211), 4), ""), พิเศษ!D211)</f>
        <v>15.39</v>
      </c>
      <c r="D33" s="121">
        <f>HYPERLINK(IF($G$1="เปิด", "#'พิเศษ'!" &amp; ADDRESS(ROW(พิเศษ!H211), COLUMN(พิเศษ!H211), 4), ""), พิเศษ!H211)</f>
        <v>1.33</v>
      </c>
      <c r="E33" s="121">
        <f>HYPERLINK(IF($G$1="เปิด", "#'พิเศษ'!" &amp; ADDRESS(ROW(พิเศษ!L211), COLUMN(พิเศษ!L211), 4), ""), พิเศษ!L211)</f>
        <v>0</v>
      </c>
      <c r="F33" s="183">
        <f>HYPERLINK(IF($G$1="เปิด", "#'พิเศษ'!" &amp; ADDRESS(ROW(พิเศษ!P211), COLUMN(พิเศษ!P211), 4), ""), พิเศษ!P211)</f>
        <v>8.36</v>
      </c>
      <c r="G33" s="221">
        <f>SUM(F33:F34)</f>
        <v>8.36</v>
      </c>
      <c r="H33"/>
    </row>
    <row r="34" spans="1:8" ht="21" customHeight="1" x14ac:dyDescent="0.35">
      <c r="A34" s="222" t="str">
        <f>HYPERLINK(IF('รวมปกติ+พิเศษ'!$L$1="เปิด", "#'รวมปกติ+พิเศษ'!A" &amp; MATCH("คณะสหเวชศาสตร์", 'รวมปกติ+พิเศษ'!A:A, 0), "#A"&amp;ROW()), IF('รวมปกติ+พิเศษ'!$L$1="เปิด", "กลับรวมปกติ+พิเศษ", ""))</f>
        <v/>
      </c>
      <c r="B34" s="190" t="s">
        <v>97</v>
      </c>
      <c r="C34" s="218">
        <f>HYPERLINK(IF($G$1="เปิด", "#'พิเศษ'!" &amp; ADDRESS(ROW(พิเศษ!E212), COLUMN(พิเศษ!E212), 4) &amp; ":" &amp; ADDRESS(ROW(พิเศษ!E213), COLUMN(พิเศษ!E213), 4), ""), SUM(พิเศษ!E212:E213))</f>
        <v>0</v>
      </c>
      <c r="D34" s="218">
        <f>HYPERLINK(IF($G$1="เปิด", "#'พิเศษ'!" &amp; ADDRESS(ROW(พิเศษ!I212), COLUMN(พิเศษ!I212), 4) &amp; ":" &amp; ADDRESS(ROW(พิเศษ!I213), COLUMN(พิเศษ!I213), 4), ""), SUM(พิเศษ!I212:I213))</f>
        <v>0</v>
      </c>
      <c r="E34" s="218">
        <f>HYPERLINK(IF($G$1="เปิด", "#'พิเศษ'!" &amp; ADDRESS(ROW(พิเศษ!M212), COLUMN(พิเศษ!M212), 4) &amp; ":" &amp; ADDRESS(ROW(พิเศษ!M213), COLUMN(พิเศษ!M213), 4), ""), SUM(พิเศษ!M212:M213))</f>
        <v>0</v>
      </c>
      <c r="F34" s="219">
        <f>HYPERLINK(IF($G$1="เปิด", "#'พิเศษ'!" &amp; ADDRESS(ROW(พิเศษ!Q212), COLUMN(พิเศษ!Q212), 4) &amp; ":" &amp; ADDRESS(ROW(พิเศษ!Q213), COLUMN(พิเศษ!Q213), 4), ""), SUM(พิเศษ!Q212:Q213))</f>
        <v>0</v>
      </c>
      <c r="G34" s="220"/>
      <c r="H34"/>
    </row>
    <row r="35" spans="1:8" ht="21" customHeight="1" x14ac:dyDescent="0.35">
      <c r="A35" s="127" t="str">
        <f>HYPERLINK(IF($G$1="เปิด", "#พิเศษ!A" &amp; MATCH("คณะสาธารณสุขศาสตร์", พิเศษ!A:A, 0), ""), IF($G$1="เปิด", "คณะสาธารณสุขศาสตร์ (ไปชีทพิเศษ)", "คณะสาธารณสุขศาสตร์"))</f>
        <v>คณะสาธารณสุขศาสตร์</v>
      </c>
      <c r="B35" s="5" t="s">
        <v>8</v>
      </c>
      <c r="C35" s="121">
        <f>HYPERLINK(IF($G$1="เปิด", "#'พิเศษ'!" &amp; ADDRESS(ROW(พิเศษ!D233), COLUMN(พิเศษ!D233), 4), ""), พิเศษ!D233)</f>
        <v>63.89</v>
      </c>
      <c r="D35" s="121">
        <f>HYPERLINK(IF($G$1="เปิด", "#'พิเศษ'!" &amp; ADDRESS(ROW(พิเศษ!H233), COLUMN(พิเศษ!H233), 4), ""), พิเศษ!H233)</f>
        <v>4</v>
      </c>
      <c r="E35" s="121">
        <f>HYPERLINK(IF($G$1="เปิด", "#'พิเศษ'!" &amp; ADDRESS(ROW(พิเศษ!L233), COLUMN(พิเศษ!L233), 4), ""), พิเศษ!L233)</f>
        <v>0</v>
      </c>
      <c r="F35" s="183">
        <f>HYPERLINK(IF($G$1="เปิด", "#'พิเศษ'!" &amp; ADDRESS(ROW(พิเศษ!P230), COLUMN(พิเศษ!P230), 4), ""), พิเศษ!P230)</f>
        <v>0</v>
      </c>
      <c r="G35" s="221">
        <f>SUM(F35:F36)</f>
        <v>0</v>
      </c>
      <c r="H35"/>
    </row>
    <row r="36" spans="1:8" ht="21" customHeight="1" x14ac:dyDescent="0.35">
      <c r="A36" s="222" t="str">
        <f>HYPERLINK(IF('รวมปกติ+พิเศษ'!$L$1="เปิด", "#'รวมปกติ+พิเศษ'!A" &amp; MATCH("คณะสาธารณสุขศาสตร์", 'รวมปกติ+พิเศษ'!A:A, 0), "#A"&amp;ROW()), IF('รวมปกติ+พิเศษ'!$L$1="เปิด", "กลับรวมปกติ+พิเศษ", ""))</f>
        <v/>
      </c>
      <c r="B36" s="190" t="s">
        <v>97</v>
      </c>
      <c r="C36" s="218">
        <f>HYPERLINK(IF($G$1="เปิด", "#'พิเศษ'!" &amp; ADDRESS(ROW(พิเศษ!E234), COLUMN(พิเศษ!E234), 4) &amp; ":" &amp; ADDRESS(ROW(พิเศษ!E235), COLUMN(พิเศษ!E235), 4), ""), SUM(พิเศษ!E234:E235))</f>
        <v>62.17</v>
      </c>
      <c r="D36" s="218">
        <f>HYPERLINK(IF($G$1="เปิด", "#'พิเศษ'!" &amp; ADDRESS(ROW(พิเศษ!I234), COLUMN(พิเศษ!I234), 4) &amp; ":" &amp; ADDRESS(ROW(พิเศษ!I235), COLUMN(พิเศษ!I235), 4), ""), SUM(พิเศษ!I234:I235))</f>
        <v>38.08</v>
      </c>
      <c r="E36" s="218">
        <f>HYPERLINK(IF($G$1="เปิด", "#'พิเศษ'!" &amp; ADDRESS(ROW(พิเศษ!M234), COLUMN(พิเศษ!M234), 4) &amp; ":" &amp; ADDRESS(ROW(พิเศษ!M235), COLUMN(พิเศษ!M235), 4), ""), SUM(พิเศษ!M234:M235))</f>
        <v>17</v>
      </c>
      <c r="F36" s="219">
        <f>HYPERLINK(IF($G$1="เปิด", "#'พิเศษ'!" &amp; ADDRESS(ROW(พิเศษ!Q231), COLUMN(พิเศษ!Q231), 4) &amp; ":" &amp; ADDRESS(ROW(พิเศษ!Q232), COLUMN(พิเศษ!Q232), 4), ""), SUM(พิเศษ!Q231:Q232))</f>
        <v>0</v>
      </c>
      <c r="G36" s="220"/>
      <c r="H36"/>
    </row>
    <row r="37" spans="1:8" ht="21" customHeight="1" x14ac:dyDescent="0.35">
      <c r="A37" s="127" t="str">
        <f>HYPERLINK(IF($G$1="เปิด", "#พิเศษ!A" &amp; MATCH("วิทยาลัยนานาชาติ", พิเศษ!A:A, 0), ""), IF($G$1="เปิด", "วิทยาลัยนานาชาติ (ไปชีทพิเศษ)", "วิทยาลัยนานาชาติ"))</f>
        <v>วิทยาลัยนานาชาติ</v>
      </c>
      <c r="B37" s="9" t="s">
        <v>8</v>
      </c>
      <c r="C37" s="121">
        <f>HYPERLINK(IF($G$1="เปิด", "#'พิเศษ'!" &amp; ADDRESS(ROW(พิเศษ!D237), COLUMN(พิเศษ!D237), 4), ""), พิเศษ!D237)</f>
        <v>0</v>
      </c>
      <c r="D37" s="121">
        <f>HYPERLINK(IF($G$1="เปิด", "#'พิเศษ'!" &amp; ADDRESS(ROW(พิเศษ!H237), COLUMN(พิเศษ!H237), 4), ""), พิเศษ!H237)</f>
        <v>0</v>
      </c>
      <c r="E37" s="121">
        <f>HYPERLINK(IF($G$1="เปิด", "#'พิเศษ'!" &amp; ADDRESS(ROW(พิเศษ!L237), COLUMN(พิเศษ!L237), 4), ""), พิเศษ!L237)</f>
        <v>0</v>
      </c>
      <c r="F37" s="183">
        <f>HYPERLINK(IF($G$1="เปิด", "#'พิเศษ'!" &amp; ADDRESS(ROW(พิเศษ!P234), COLUMN(พิเศษ!P234), 4), ""), พิเศษ!P234)</f>
        <v>58.63</v>
      </c>
      <c r="G37" s="221">
        <f>SUM(F37:F38)</f>
        <v>58.63</v>
      </c>
      <c r="H37"/>
    </row>
    <row r="38" spans="1:8" ht="21" customHeight="1" x14ac:dyDescent="0.35">
      <c r="A38" s="222" t="str">
        <f>HYPERLINK(IF('รวมปกติ+พิเศษ'!$L$1="เปิด", "#'รวมปกติ+พิเศษ'!A" &amp; MATCH("วิทยาลัยนานาชาติ", 'รวมปกติ+พิเศษ'!A:A, 0), "#A"&amp;ROW()), IF('รวมปกติ+พิเศษ'!$L$1="เปิด", "กลับรวมปกติ+พิเศษ", ""))</f>
        <v/>
      </c>
      <c r="B38" s="190" t="s">
        <v>97</v>
      </c>
      <c r="C38" s="218">
        <f>HYPERLINK(IF($G$1="เปิด", "#'พิเศษ'!" &amp; ADDRESS(ROW(พิเศษ!E238), COLUMN(พิเศษ!E238), 4) &amp; ":" &amp; ADDRESS(ROW(พิเศษ!E239), COLUMN(พิเศษ!E239), 4), ""), SUM(พิเศษ!E238:E239))</f>
        <v>12.6</v>
      </c>
      <c r="D38" s="218">
        <f>HYPERLINK(IF($G$1="เปิด", "#'พิเศษ'!" &amp; ADDRESS(ROW(พิเศษ!I238), COLUMN(พิเศษ!I238), 4) &amp; ":" &amp; ADDRESS(ROW(พิเศษ!I239), COLUMN(พิเศษ!I239), 4), ""), SUM(พิเศษ!I238:I239))</f>
        <v>7.2</v>
      </c>
      <c r="E38" s="218">
        <f>HYPERLINK(IF($G$1="เปิด", "#'พิเศษ'!" &amp; ADDRESS(ROW(พิเศษ!M238), COLUMN(พิเศษ!M238), 4) &amp; ":" &amp; ADDRESS(ROW(พิเศษ!M239), COLUMN(พิเศษ!M239), 4), ""), SUM(พิเศษ!M238:M239))</f>
        <v>0</v>
      </c>
      <c r="F38" s="219">
        <f>HYPERLINK(IF($G$1="เปิด", "#'พิเศษ'!" &amp; ADDRESS(ROW(พิเศษ!Q235), COLUMN(พิเศษ!Q235), 4) &amp; ":" &amp; ADDRESS(ROW(พิเศษ!Q236), COLUMN(พิเศษ!Q236), 4), ""), SUM(พิเศษ!Q235:Q236))</f>
        <v>0</v>
      </c>
      <c r="G38" s="220"/>
      <c r="H38"/>
    </row>
    <row r="39" spans="1:8" ht="21" customHeight="1" x14ac:dyDescent="0.35">
      <c r="A39" s="127" t="str">
        <f>HYPERLINK(IF($G$1="เปิด", "#พิเศษ!A" &amp; MATCH("วิทยาลัยวิทยาการวิจัยและวิทยาการปัญญา", พิเศษ!A:A, 0), ""), IF($G$1="เปิด", "วิทยาลัยวิทยาการวิจัยและวิทยาการปัญญา (ไปชีทพิเศษ)", "วิทยาลัยวิทยาการวิจัยและวิทยาการปัญญา"))</f>
        <v>วิทยาลัยวิทยาการวิจัยและวิทยาการปัญญา</v>
      </c>
      <c r="B39" s="5" t="s">
        <v>8</v>
      </c>
      <c r="C39" s="121">
        <f>HYPERLINK(IF($G$1="เปิด", "#'พิเศษ'!" &amp; ADDRESS(ROW(พิเศษ!D241), COLUMN(พิเศษ!D241), 4), ""), พิเศษ!D241)</f>
        <v>0</v>
      </c>
      <c r="D39" s="121">
        <f>HYPERLINK(IF($G$1="เปิด", "#'พิเศษ'!" &amp; ADDRESS(ROW(พิเศษ!H241), COLUMN(พิเศษ!H241), 4), ""), พิเศษ!H241)</f>
        <v>0</v>
      </c>
      <c r="E39" s="121">
        <f>HYPERLINK(IF($G$1="เปิด", "#'พิเศษ'!" &amp; ADDRESS(ROW(พิเศษ!L241), COLUMN(พิเศษ!L241), 4), ""), พิเศษ!L241)</f>
        <v>0</v>
      </c>
      <c r="F39" s="183">
        <f>HYPERLINK(IF($G$1="เปิด", "#'พิเศษ'!" &amp; ADDRESS(ROW(พิเศษ!P238), COLUMN(พิเศษ!P238), 4), ""), พิเศษ!P238)</f>
        <v>5.5</v>
      </c>
      <c r="G39" s="221">
        <f>SUM(F39:F40)</f>
        <v>5.5</v>
      </c>
      <c r="H39"/>
    </row>
    <row r="40" spans="1:8" ht="21" customHeight="1" x14ac:dyDescent="0.35">
      <c r="A40" s="222" t="str">
        <f>HYPERLINK(IF('รวมปกติ+พิเศษ'!$L$1="เปิด", "#'รวมปกติ+พิเศษ'!A" &amp; MATCH("วิทยาลัยวิทยาการวิจัยและวิทยาการปัญญา", 'รวมปกติ+พิเศษ'!A:A, 0), "#A"&amp;ROW()), IF('รวมปกติ+พิเศษ'!$L$1="เปิด", "กลับรวมปกติ+พิเศษ", ""))</f>
        <v/>
      </c>
      <c r="B40" s="190" t="s">
        <v>97</v>
      </c>
      <c r="C40" s="218">
        <f>HYPERLINK(IF($G$1="เปิด", "#'พิเศษ'!" &amp; ADDRESS(ROW(พิเศษ!E242), COLUMN(พิเศษ!E242), 4) &amp; ":" &amp; ADDRESS(ROW(พิเศษ!E243), COLUMN(พิเศษ!E243), 4), ""), SUM(พิเศษ!E242:E243))</f>
        <v>0</v>
      </c>
      <c r="D40" s="218">
        <f>HYPERLINK(IF($G$1="เปิด", "#'พิเศษ'!" &amp; ADDRESS(ROW(พิเศษ!I242), COLUMN(พิเศษ!I242), 4) &amp; ":" &amp; ADDRESS(ROW(พิเศษ!I243), COLUMN(พิเศษ!I243), 4), ""), SUM(พิเศษ!I242:I243))</f>
        <v>0</v>
      </c>
      <c r="E40" s="218">
        <f>HYPERLINK(IF($G$1="เปิด", "#'พิเศษ'!" &amp; ADDRESS(ROW(พิเศษ!M242), COLUMN(พิเศษ!M242), 4) &amp; ":" &amp; ADDRESS(ROW(พิเศษ!M243), COLUMN(พิเศษ!M243), 4), ""), SUM(พิเศษ!M242:M243))</f>
        <v>0</v>
      </c>
      <c r="F40" s="219">
        <f>HYPERLINK(IF($G$1="เปิด", "#'พิเศษ'!" &amp; ADDRESS(ROW(พิเศษ!Q239), COLUMN(พิเศษ!Q239), 4) &amp; ":" &amp; ADDRESS(ROW(พิเศษ!Q240), COLUMN(พิเศษ!Q240), 4), ""), SUM(พิเศษ!Q239:Q240))</f>
        <v>0</v>
      </c>
      <c r="G40" s="220"/>
      <c r="H40"/>
    </row>
    <row r="41" spans="1:8" ht="21" customHeight="1" x14ac:dyDescent="0.35">
      <c r="A41" s="127" t="str">
        <f>HYPERLINK(IF($G$1="เปิด", "#พิเศษ!A" &amp; MATCH("สถาบันภาษา", พิเศษ!A:A, 0), ""), IF($G$1="เปิด", "สถาบันภาษา (ไปชีทพิเศษ)", "สถาบันภาษา"))</f>
        <v>สถาบันภาษา</v>
      </c>
      <c r="B41" s="5" t="s">
        <v>8</v>
      </c>
      <c r="C41" s="121">
        <f>HYPERLINK(IF($G$1="เปิด", "#'พิเศษ'!" &amp; ADDRESS(ROW(พิเศษ!D245), COLUMN(พิเศษ!D245), 4), ""), พิเศษ!D245)</f>
        <v>0</v>
      </c>
      <c r="D41" s="121">
        <f>HYPERLINK(IF($G$1="เปิด", "#'พิเศษ'!" &amp; ADDRESS(ROW(พิเศษ!H245), COLUMN(พิเศษ!H245), 4), ""), พิเศษ!H245)</f>
        <v>85.83</v>
      </c>
      <c r="E41" s="121">
        <f>HYPERLINK(IF($G$1="เปิด", "#'พิเศษ'!" &amp; ADDRESS(ROW(พิเศษ!L245), COLUMN(พิเศษ!L245), 4), ""), พิเศษ!L245)</f>
        <v>12.17</v>
      </c>
      <c r="F41" s="183">
        <f>HYPERLINK(IF($G$1="เปิด", "#'พิเศษ'!" &amp; ADDRESS(ROW(พิเศษ!P242), COLUMN(พิเศษ!P242), 4), ""), พิเศษ!P242)</f>
        <v>0</v>
      </c>
      <c r="G41" s="221">
        <f>SUM(F41:F42)</f>
        <v>0</v>
      </c>
      <c r="H41"/>
    </row>
    <row r="42" spans="1:8" ht="21" customHeight="1" x14ac:dyDescent="0.35">
      <c r="A42" s="222" t="str">
        <f>HYPERLINK(IF('รวมปกติ+พิเศษ'!$L$1="เปิด", "#'รวมปกติ+พิเศษ'!A" &amp; MATCH("สถาบันภาษา", 'รวมปกติ+พิเศษ'!A:A, 0), "#A"&amp;ROW()), IF('รวมปกติ+พิเศษ'!$L$1="เปิด", "กลับรวมปกติ+พิเศษ", ""))</f>
        <v/>
      </c>
      <c r="B42" s="190" t="s">
        <v>97</v>
      </c>
      <c r="C42" s="218">
        <f>HYPERLINK(IF($G$1="เปิด", "#'พิเศษ'!" &amp; ADDRESS(ROW(พิเศษ!E246), COLUMN(พิเศษ!E246), 4) &amp; ":" &amp; ADDRESS(ROW(พิเศษ!E247), COLUMN(พิเศษ!E247), 4), ""), SUM(พิเศษ!E246:E247))</f>
        <v>0</v>
      </c>
      <c r="D42" s="218">
        <f>HYPERLINK(IF($G$1="เปิด", "#'พิเศษ'!" &amp; ADDRESS(ROW(พิเศษ!I246), COLUMN(พิเศษ!I246), 4) &amp; ":" &amp; ADDRESS(ROW(พิเศษ!I247), COLUMN(พิเศษ!I247), 4), ""), SUM(พิเศษ!I246:I247))</f>
        <v>0</v>
      </c>
      <c r="E42" s="218">
        <f>HYPERLINK(IF($G$1="เปิด", "#'พิเศษ'!" &amp; ADDRESS(ROW(พิเศษ!M246), COLUMN(พิเศษ!M246), 4) &amp; ":" &amp; ADDRESS(ROW(พิเศษ!M247), COLUMN(พิเศษ!M247), 4), ""), SUM(พิเศษ!M246:M247))</f>
        <v>0</v>
      </c>
      <c r="F42" s="219">
        <f>HYPERLINK(IF($G$1="เปิด", "#'พิเศษ'!" &amp; ADDRESS(ROW(พิเศษ!Q243), COLUMN(พิเศษ!Q243), 4) &amp; ":" &amp; ADDRESS(ROW(พิเศษ!Q244), COLUMN(พิเศษ!Q244), 4), ""), SUM(พิเศษ!Q243:Q244))</f>
        <v>0</v>
      </c>
      <c r="G42" s="220"/>
      <c r="H42"/>
    </row>
    <row r="43" spans="1:8" ht="21" customHeight="1" x14ac:dyDescent="0.35">
      <c r="A43" s="127" t="str">
        <f>HYPERLINK(IF($G$1="เปิด", "#พิเศษ!A" &amp; MATCH("คณะเทคโนโลยีทางทะเล", พิเศษ!A:A, 0), ""), IF($G$1="เปิด", "คณะเทคโนโลยีทางทะเล (ไปชีทพิเศษ)", "คณะเทคโนโลยีทางทะเล"))</f>
        <v>คณะเทคโนโลยีทางทะเล</v>
      </c>
      <c r="B43" s="5" t="s">
        <v>8</v>
      </c>
      <c r="C43" s="121">
        <f>HYPERLINK(IF($G$1="เปิด", "#'พิเศษ'!" &amp; ADDRESS(ROW(พิเศษ!D255), COLUMN(พิเศษ!D255), 4), ""), พิเศษ!D255)</f>
        <v>39.39</v>
      </c>
      <c r="D43" s="121">
        <f>HYPERLINK(IF($G$1="เปิด", "#'พิเศษ'!" &amp; ADDRESS(ROW(พิเศษ!H255), COLUMN(พิเศษ!H255), 4), ""), พิเศษ!H255)</f>
        <v>0</v>
      </c>
      <c r="E43" s="121">
        <f>HYPERLINK(IF($G$1="เปิด", "#'พิเศษ'!" &amp; ADDRESS(ROW(พิเศษ!L255), COLUMN(พิเศษ!L255), 4), ""), พิเศษ!L255)</f>
        <v>0</v>
      </c>
      <c r="F43" s="183">
        <f>HYPERLINK(IF($G$1="เปิด", "#'พิเศษ'!" &amp; ADDRESS(ROW(พิเศษ!P252), COLUMN(พิเศษ!P252), 4), ""), พิเศษ!P252)</f>
        <v>0</v>
      </c>
      <c r="G43" s="221">
        <f>SUM(F43:F44)</f>
        <v>0</v>
      </c>
      <c r="H43"/>
    </row>
    <row r="44" spans="1:8" ht="21" customHeight="1" x14ac:dyDescent="0.35">
      <c r="A44" s="222" t="str">
        <f>HYPERLINK(IF('รวมปกติ+พิเศษ'!$L$1="เปิด", "#'รวมปกติ+พิเศษ'!A" &amp; MATCH("คณะเทคโนโลยีทางทะเล", 'รวมปกติ+พิเศษ'!A:A, 0), "#A"&amp;ROW()), IF('รวมปกติ+พิเศษ'!$L$1="เปิด", "กลับรวมปกติ+พิเศษ", ""))</f>
        <v/>
      </c>
      <c r="B44" s="190" t="s">
        <v>97</v>
      </c>
      <c r="C44" s="218">
        <f>HYPERLINK(IF($G$1="เปิด", "#'พิเศษ'!" &amp; ADDRESS(ROW(พิเศษ!E256), COLUMN(พิเศษ!E256), 4) &amp; ":" &amp; ADDRESS(ROW(พิเศษ!E257), COLUMN(พิเศษ!E257), 4), ""), SUM(พิเศษ!E256:E257))</f>
        <v>0</v>
      </c>
      <c r="D44" s="218">
        <f>HYPERLINK(IF($G$1="เปิด", "#'พิเศษ'!" &amp; ADDRESS(ROW(พิเศษ!I256), COLUMN(พิเศษ!I256), 4) &amp; ":" &amp; ADDRESS(ROW(พิเศษ!I257), COLUMN(พิเศษ!I257), 4), ""), SUM(พิเศษ!I256:I257))</f>
        <v>0</v>
      </c>
      <c r="E44" s="218">
        <f>HYPERLINK(IF($G$1="เปิด", "#'พิเศษ'!" &amp; ADDRESS(ROW(พิเศษ!M256), COLUMN(พิเศษ!M256), 4) &amp; ":" &amp; ADDRESS(ROW(พิเศษ!M257), COLUMN(พิเศษ!M257), 4), ""), SUM(พิเศษ!M256:M257))</f>
        <v>0</v>
      </c>
      <c r="F44" s="219">
        <f>HYPERLINK(IF($G$1="เปิด", "#'พิเศษ'!" &amp; ADDRESS(ROW(พิเศษ!Q253), COLUMN(พิเศษ!Q253), 4) &amp; ":" &amp; ADDRESS(ROW(พิเศษ!Q254), COLUMN(พิเศษ!Q254), 4), ""), SUM(พิเศษ!Q253:Q254))</f>
        <v>0</v>
      </c>
      <c r="G44" s="220"/>
      <c r="H44"/>
    </row>
    <row r="45" spans="1:8" ht="21" customHeight="1" x14ac:dyDescent="0.35">
      <c r="A45" s="127" t="str">
        <f>HYPERLINK(IF($G$1="เปิด", "#พิเศษ!A" &amp; MATCH("คณะวิทยาศาสตร์และศิลปศาสตร์", พิเศษ!A:A, 0), ""), IF($G$1="เปิด", "คณะวิทยาศาสตร์และศิลปศาสตร์ (ไปชีทพิเศษ)", "คณะวิทยาศาสตร์และศิลปศาสตร์"))</f>
        <v>คณะวิทยาศาสตร์และศิลปศาสตร์</v>
      </c>
      <c r="B45" s="5" t="s">
        <v>8</v>
      </c>
      <c r="C45" s="121">
        <f>HYPERLINK(IF($G$1="เปิด", "#'พิเศษ'!" &amp; ADDRESS(ROW(พิเศษ!D259), COLUMN(พิเศษ!D259), 4), ""), พิเศษ!D259)</f>
        <v>0</v>
      </c>
      <c r="D45" s="121">
        <f>HYPERLINK(IF($G$1="เปิด", "#'พิเศษ'!" &amp; ADDRESS(ROW(พิเศษ!H259), COLUMN(พิเศษ!H259), 4), ""), พิเศษ!H259)</f>
        <v>0</v>
      </c>
      <c r="E45" s="121">
        <f>HYPERLINK(IF($G$1="เปิด", "#'พิเศษ'!" &amp; ADDRESS(ROW(พิเศษ!L259), COLUMN(พิเศษ!L259), 4), ""), พิเศษ!L259)</f>
        <v>0</v>
      </c>
      <c r="F45" s="183">
        <f>HYPERLINK(IF($G$1="เปิด", "#'พิเศษ'!" &amp; ADDRESS(ROW(พิเศษ!P256), COLUMN(พิเศษ!P256), 4), ""), พิเศษ!P256)</f>
        <v>0</v>
      </c>
      <c r="G45" s="221">
        <f>SUM(F45:F46)</f>
        <v>0</v>
      </c>
      <c r="H45"/>
    </row>
    <row r="46" spans="1:8" ht="21" customHeight="1" x14ac:dyDescent="0.35">
      <c r="A46" s="222" t="str">
        <f>HYPERLINK(IF('รวมปกติ+พิเศษ'!$L$1="เปิด", "#'รวมปกติ+พิเศษ'!A" &amp; MATCH("คณะวิทยาศาสตร์และศิลปศาสตร์", 'รวมปกติ+พิเศษ'!A:A, 0), "#A"&amp;ROW()), IF('รวมปกติ+พิเศษ'!$L$1="เปิด", "กลับรวมปกติ+พิเศษ", ""))</f>
        <v/>
      </c>
      <c r="B46" s="190" t="s">
        <v>97</v>
      </c>
      <c r="C46" s="218">
        <f>HYPERLINK(IF($G$1="เปิด", "#'พิเศษ'!" &amp; ADDRESS(ROW(พิเศษ!E260), COLUMN(พิเศษ!E260), 4) &amp; ":" &amp; ADDRESS(ROW(พิเศษ!E261), COLUMN(พิเศษ!E261), 4), ""), SUM(พิเศษ!E260:E261))</f>
        <v>0</v>
      </c>
      <c r="D46" s="218">
        <f>HYPERLINK(IF($G$1="เปิด", "#'พิเศษ'!" &amp; ADDRESS(ROW(พิเศษ!I260), COLUMN(พิเศษ!I260), 4) &amp; ":" &amp; ADDRESS(ROW(พิเศษ!I261), COLUMN(พิเศษ!I261), 4), ""), SUM(พิเศษ!I260:I261))</f>
        <v>0</v>
      </c>
      <c r="E46" s="218">
        <f>HYPERLINK(IF($G$1="เปิด", "#'พิเศษ'!" &amp; ADDRESS(ROW(พิเศษ!M260), COLUMN(พิเศษ!M260), 4) &amp; ":" &amp; ADDRESS(ROW(พิเศษ!M261), COLUMN(พิเศษ!M261), 4), ""), SUM(พิเศษ!M260:M261))</f>
        <v>0</v>
      </c>
      <c r="F46" s="219">
        <f>HYPERLINK(IF($G$1="เปิด", "#'พิเศษ'!" &amp; ADDRESS(ROW(พิเศษ!Q257), COLUMN(พิเศษ!Q257), 4) &amp; ":" &amp; ADDRESS(ROW(พิเศษ!Q258), COLUMN(พิเศษ!Q258), 4), ""), SUM(พิเศษ!Q257:Q258))</f>
        <v>0</v>
      </c>
      <c r="G46" s="220"/>
      <c r="H46"/>
    </row>
    <row r="47" spans="1:8" ht="21" customHeight="1" x14ac:dyDescent="0.35">
      <c r="A47" s="127" t="str">
        <f>HYPERLINK(IF($G$1="เปิด", "#พิเศษ!A" &amp; MATCH("คณะอัญมณี", พิเศษ!A:A, 0), ""), IF($G$1="เปิด", "คณะอัญมณี (ไปชีทพิเศษ)", "คณะอัญมณี"))</f>
        <v>คณะอัญมณี</v>
      </c>
      <c r="B47" s="5" t="s">
        <v>8</v>
      </c>
      <c r="C47" s="121">
        <f>HYPERLINK(IF($G$1="เปิด", "#'พิเศษ'!" &amp; ADDRESS(ROW(พิเศษ!D263), COLUMN(พิเศษ!D263), 4), ""), พิเศษ!D263)</f>
        <v>0</v>
      </c>
      <c r="D47" s="121">
        <f>HYPERLINK(IF($G$1="เปิด", "#'พิเศษ'!" &amp; ADDRESS(ROW(พิเศษ!H263), COLUMN(พิเศษ!H263), 4), ""), พิเศษ!H263)</f>
        <v>0</v>
      </c>
      <c r="E47" s="121">
        <f>HYPERLINK(IF($G$1="เปิด", "#'พิเศษ'!" &amp; ADDRESS(ROW(พิเศษ!L263), COLUMN(พิเศษ!L263), 4), ""), พิเศษ!L263)</f>
        <v>0</v>
      </c>
      <c r="F47" s="183">
        <f>HYPERLINK(IF($G$1="เปิด", "#'พิเศษ'!" &amp; ADDRESS(ROW(พิเศษ!P260), COLUMN(พิเศษ!P260), 4), ""), พิเศษ!P260)</f>
        <v>0</v>
      </c>
      <c r="G47" s="221">
        <f>SUM(F47:F48)</f>
        <v>0</v>
      </c>
      <c r="H47"/>
    </row>
    <row r="48" spans="1:8" ht="21" customHeight="1" x14ac:dyDescent="0.35">
      <c r="A48" s="222" t="str">
        <f>HYPERLINK(IF('รวมปกติ+พิเศษ'!$L$1="เปิด", "#'รวมปกติ+พิเศษ'!A" &amp; MATCH("คณะอัญมณี", 'รวมปกติ+พิเศษ'!A:A, 0), "#A"&amp;ROW()), IF('รวมปกติ+พิเศษ'!$L$1="เปิด", "กลับรวมปกติ+พิเศษ", ""))</f>
        <v/>
      </c>
      <c r="B48" s="190" t="s">
        <v>97</v>
      </c>
      <c r="C48" s="218">
        <f>HYPERLINK(IF($G$1="เปิด", "#'พิเศษ'!" &amp; ADDRESS(ROW(พิเศษ!E264), COLUMN(พิเศษ!E264), 4) &amp; ":" &amp; ADDRESS(ROW(พิเศษ!E265), COLUMN(พิเศษ!E265), 4), ""), SUM(พิเศษ!E264:E265))</f>
        <v>0</v>
      </c>
      <c r="D48" s="218">
        <f>HYPERLINK(IF($G$1="เปิด", "#'พิเศษ'!" &amp; ADDRESS(ROW(พิเศษ!I264), COLUMN(พิเศษ!I264), 4) &amp; ":" &amp; ADDRESS(ROW(พิเศษ!I265), COLUMN(พิเศษ!I265), 4), ""), SUM(พิเศษ!I264:I265))</f>
        <v>0</v>
      </c>
      <c r="E48" s="218">
        <f>HYPERLINK(IF($G$1="เปิด", "#'พิเศษ'!" &amp; ADDRESS(ROW(พิเศษ!M264), COLUMN(พิเศษ!M264), 4) &amp; ":" &amp; ADDRESS(ROW(พิเศษ!M265), COLUMN(พิเศษ!M265), 4), ""), SUM(พิเศษ!M264:M265))</f>
        <v>0</v>
      </c>
      <c r="F48" s="219">
        <f>HYPERLINK(IF($G$1="เปิด", "#'พิเศษ'!" &amp; ADDRESS(ROW(พิเศษ!Q261), COLUMN(พิเศษ!Q261), 4) &amp; ":" &amp; ADDRESS(ROW(พิเศษ!Q262), COLUMN(พิเศษ!Q262), 4), ""), SUM(พิเศษ!Q261:Q262))</f>
        <v>0</v>
      </c>
      <c r="G48" s="220"/>
      <c r="H48"/>
    </row>
    <row r="49" spans="1:8" ht="21" customHeight="1" x14ac:dyDescent="0.35">
      <c r="A49" s="127" t="str">
        <f>HYPERLINK(IF($G$1="เปิด", "#พิเศษ!A" &amp; MATCH("คณะวิทยาศาสตร์และสังคมศาสตร์", พิเศษ!A:A, 0), ""), IF($G$1="เปิด", "คณะวิทยาศาสตร์และสังคมศาสตร์ (ไปชีทพิเศษ)", "คณะวิทยาศาสตร์และสังคมศาสตร์"))</f>
        <v>คณะวิทยาศาสตร์และสังคมศาสตร์</v>
      </c>
      <c r="B49" s="5" t="s">
        <v>8</v>
      </c>
      <c r="C49" s="121">
        <f>HYPERLINK(IF($G$1="เปิด", "#'พิเศษ'!" &amp; ADDRESS(ROW(พิเศษ!D272), COLUMN(พิเศษ!D272), 4), ""), พิเศษ!D272)</f>
        <v>44.5</v>
      </c>
      <c r="D49" s="121">
        <f>HYPERLINK(IF($G$1="เปิด", "#'พิเศษ'!" &amp; ADDRESS(ROW(พิเศษ!H272), COLUMN(พิเศษ!H272), 4), ""), พิเศษ!H272)</f>
        <v>30.11</v>
      </c>
      <c r="E49" s="121">
        <f>HYPERLINK(IF($G$1="เปิด", "#'พิเศษ'!" &amp; ADDRESS(ROW(พิเศษ!L272), COLUMN(พิเศษ!L272), 4), ""), พิเศษ!L272)</f>
        <v>0</v>
      </c>
      <c r="F49" s="183">
        <f>HYPERLINK(IF($G$1="เปิด", "#'พิเศษ'!" &amp; ADDRESS(ROW(พิเศษ!P269), COLUMN(พิเศษ!P269), 4), ""), พิเศษ!P269)</f>
        <v>0</v>
      </c>
      <c r="G49" s="221">
        <f>SUM(F49:F50)</f>
        <v>0</v>
      </c>
      <c r="H49"/>
    </row>
    <row r="50" spans="1:8" ht="21" customHeight="1" x14ac:dyDescent="0.35">
      <c r="A50" s="222" t="str">
        <f>HYPERLINK(IF('รวมปกติ+พิเศษ'!$L$1="เปิด", "#'รวมปกติ+พิเศษ'!A" &amp; MATCH("คณะวิทยาศาสตร์และสังคมศาสตร์", 'รวมปกติ+พิเศษ'!A:A, 0), "#A"&amp;ROW()), IF('รวมปกติ+พิเศษ'!$L$1="เปิด", "กลับรวมปกติ+พิเศษ", ""))</f>
        <v/>
      </c>
      <c r="B50" s="190" t="s">
        <v>97</v>
      </c>
      <c r="C50" s="218">
        <f>HYPERLINK(IF($G$1="เปิด", "#'พิเศษ'!" &amp; ADDRESS(ROW(พิเศษ!E273), COLUMN(พิเศษ!E273), 4) &amp; ":" &amp; ADDRESS(ROW(พิเศษ!E274), COLUMN(พิเศษ!E274), 4), ""), SUM(พิเศษ!E273:E274))</f>
        <v>0</v>
      </c>
      <c r="D50" s="218">
        <f>HYPERLINK(IF($G$1="เปิด", "#'พิเศษ'!" &amp; ADDRESS(ROW(พิเศษ!I273), COLUMN(พิเศษ!I273), 4) &amp; ":" &amp; ADDRESS(ROW(พิเศษ!I274), COLUMN(พิเศษ!I274), 4), ""), SUM(พิเศษ!I273:I274))</f>
        <v>0</v>
      </c>
      <c r="E50" s="218">
        <f>HYPERLINK(IF($G$1="เปิด", "#'พิเศษ'!" &amp; ADDRESS(ROW(พิเศษ!M273), COLUMN(พิเศษ!M273), 4) &amp; ":" &amp; ADDRESS(ROW(พิเศษ!M274), COLUMN(พิเศษ!M274), 4), ""), SUM(พิเศษ!M273:M274))</f>
        <v>0</v>
      </c>
      <c r="F50" s="219">
        <f>HYPERLINK(IF($G$1="เปิด", "#'พิเศษ'!" &amp; ADDRESS(ROW(พิเศษ!Q270), COLUMN(พิเศษ!Q270), 4) &amp; ":" &amp; ADDRESS(ROW(พิเศษ!Q271), COLUMN(พิเศษ!Q271), 4), ""), SUM(พิเศษ!Q270:Q271))</f>
        <v>0</v>
      </c>
      <c r="G50" s="220"/>
      <c r="H50"/>
    </row>
    <row r="51" spans="1:8" ht="21" customHeight="1" x14ac:dyDescent="0.35">
      <c r="A51" s="127" t="str">
        <f>HYPERLINK(IF($G$1="เปิด", "#พิเศษ!A" &amp; MATCH("คณะเทคโนโลยีการเกษตร", พิเศษ!A:A, 0), ""), IF($G$1="เปิด", "คณะเทคโนโลยีการเกษตร (ไปชีทพิเศษ)", "คณะเทคโนโลยีการเกษตร"))</f>
        <v>คณะเทคโนโลยีการเกษตร</v>
      </c>
      <c r="B51" s="5" t="s">
        <v>8</v>
      </c>
      <c r="C51" s="121">
        <f>HYPERLINK(IF($G$1="เปิด", "#'พิเศษ'!" &amp; ADDRESS(ROW(พิเศษ!D276), COLUMN(พิเศษ!D276), 4), ""), พิเศษ!D276)</f>
        <v>0</v>
      </c>
      <c r="D51" s="121">
        <f>HYPERLINK(IF($G$1="เปิด", "#'พิเศษ'!" &amp; ADDRESS(ROW(พิเศษ!H276), COLUMN(พิเศษ!H276), 4), ""), พิเศษ!H276)</f>
        <v>0</v>
      </c>
      <c r="E51" s="121">
        <f>HYPERLINK(IF($G$1="เปิด", "#'พิเศษ'!" &amp; ADDRESS(ROW(พิเศษ!L276), COLUMN(พิเศษ!L276), 4), ""), พิเศษ!L276)</f>
        <v>0</v>
      </c>
      <c r="F51" s="183">
        <f>HYPERLINK(IF($G$1="เปิด", "#'พิเศษ'!" &amp; ADDRESS(ROW(พิเศษ!P273), COLUMN(พิเศษ!P273), 4), ""), พิเศษ!P273)</f>
        <v>0</v>
      </c>
      <c r="G51" s="221">
        <f>SUM(F51:F52)</f>
        <v>0</v>
      </c>
      <c r="H51"/>
    </row>
    <row r="52" spans="1:8" ht="21" customHeight="1" x14ac:dyDescent="0.35">
      <c r="A52" s="222" t="str">
        <f>HYPERLINK(IF('รวมปกติ+พิเศษ'!$L$1="เปิด", "#'รวมปกติ+พิเศษ'!A" &amp; MATCH("คณะเทคโนโลยีการเกษตร", 'รวมปกติ+พิเศษ'!A:A, 0), "#A"&amp;ROW()), IF('รวมปกติ+พิเศษ'!$L$1="เปิด", "กลับรวมปกติ+พิเศษ", ""))</f>
        <v/>
      </c>
      <c r="B52" s="190" t="s">
        <v>97</v>
      </c>
      <c r="C52" s="278">
        <f>HYPERLINK(IF($G$1="เปิด", "#'พิเศษ'!" &amp; ADDRESS(ROW(พิเศษ!E277), COLUMN(พิเศษ!E277), 4) &amp; ":" &amp; ADDRESS(ROW(พิเศษ!E278), COLUMN(พิเศษ!E278), 4), ""), SUM(พิเศษ!E277:E278))</f>
        <v>0</v>
      </c>
      <c r="D52" s="278">
        <f>HYPERLINK(IF($G$1="เปิด", "#'พิเศษ'!" &amp; ADDRESS(ROW(พิเศษ!I277), COLUMN(พิเศษ!I277), 4) &amp; ":" &amp; ADDRESS(ROW(พิเศษ!I278), COLUMN(พิเศษ!I278), 4), ""), SUM(พิเศษ!I277:I278))</f>
        <v>0</v>
      </c>
      <c r="E52" s="278">
        <f>HYPERLINK(IF($G$1="เปิด", "#'พิเศษ'!" &amp; ADDRESS(ROW(พิเศษ!M277), COLUMN(พิเศษ!M277), 4) &amp; ":" &amp; ADDRESS(ROW(พิเศษ!M278), COLUMN(พิเศษ!M278), 4), ""), SUM(พิเศษ!M277:M278))</f>
        <v>0</v>
      </c>
      <c r="F52" s="219">
        <f>HYPERLINK(IF($G$1="เปิด", "#'พิเศษ'!" &amp; ADDRESS(ROW(พิเศษ!Q274), COLUMN(พิเศษ!Q274), 4) &amp; ":" &amp; ADDRESS(ROW(พิเศษ!Q275), COLUMN(พิเศษ!Q275), 4), ""), SUM(พิเศษ!Q274:Q275))</f>
        <v>0</v>
      </c>
      <c r="G52" s="220"/>
      <c r="H52"/>
    </row>
    <row r="53" spans="1:8" ht="21" customHeight="1" x14ac:dyDescent="0.35">
      <c r="A53" s="103" t="s">
        <v>92</v>
      </c>
      <c r="B53" s="104"/>
      <c r="C53" s="16">
        <f>SUM(C3:C52)</f>
        <v>4504.4360000000015</v>
      </c>
      <c r="D53" s="16">
        <f t="shared" ref="D53:G53" si="0">SUM(D3:D52)</f>
        <v>4101.4849999999997</v>
      </c>
      <c r="E53" s="16">
        <f t="shared" si="0"/>
        <v>676.38499999999988</v>
      </c>
      <c r="F53" s="16">
        <f>ROUND(SUM(C53:E53)/2,2)</f>
        <v>4641.1499999999996</v>
      </c>
      <c r="G53" s="16">
        <f t="shared" si="0"/>
        <v>4496.8159999999998</v>
      </c>
      <c r="H53"/>
    </row>
  </sheetData>
  <conditionalFormatting sqref="A3:A52 C3:F52">
    <cfRule type="expression" dxfId="7" priority="4">
      <formula>$G$1="เปิด"</formula>
    </cfRule>
  </conditionalFormatting>
  <conditionalFormatting sqref="C3:G53">
    <cfRule type="expression" dxfId="5" priority="8">
      <formula>ABS(C3-INT(C3))&lt;0.01</formula>
    </cfRule>
  </conditionalFormatting>
  <conditionalFormatting sqref="G1">
    <cfRule type="expression" dxfId="4" priority="9">
      <formula>$G$1="ปิด"</formula>
    </cfRule>
  </conditionalFormatting>
  <dataValidations disablePrompts="1" count="1">
    <dataValidation type="list" allowBlank="1" showInputMessage="1" showErrorMessage="1" sqref="G1" xr:uid="{0F3E31A9-F779-46CE-9B8B-81DF9BCED7B8}">
      <formula1>"เปิด,ปิด"</formula1>
    </dataValidation>
  </dataValidations>
  <pageMargins left="0.35433070866141736" right="0.23622047244094491" top="0.74803149606299213" bottom="0.74803149606299213" header="0" footer="0"/>
  <pageSetup paperSize="9" orientation="portrait" r:id="rId1"/>
  <headerFooter>
    <oddFooter>&amp;Cหน้า &amp;P /</oddFooter>
  </headerFooter>
  <ignoredErrors>
    <ignoredError sqref="A2 B1 A53:B53 B7:B38 F2:G2 G3:G4 B52 B39 G7:G52 B40:B51" twoDigitTextYear="1"/>
  </ignoredErrors>
  <extLst>
    <ext xmlns:x14="http://schemas.microsoft.com/office/spreadsheetml/2009/9/main" uri="{78C0D931-6437-407d-A8EE-F0AAD7539E65}">
      <x14:conditionalFormattings>
        <x14:conditionalFormatting xmlns:xm="http://schemas.microsoft.com/office/excel/2006/main">
          <x14:cfRule type="expression" priority="3" id="{E5C12BFF-3C56-40A4-9617-0C6EC27CB3AE}">
            <xm:f>'รวมปกติ+พิเศษ'!$L$1="เปิด"</xm:f>
            <x14:dxf>
              <font>
                <color rgb="FF0464C2"/>
              </font>
            </x14:dxf>
          </x14:cfRule>
          <xm:sqref>A4 A6 A8 A10 A12 A14 A16 A18 A20 A22 A24 A26 A28 A30 A32 A34 A36 A38 A40 A42 A44 A46 A48 A50 A52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54"/>
  <sheetViews>
    <sheetView showGridLines="0" zoomScaleNormal="100" workbookViewId="0">
      <pane ySplit="3" topLeftCell="A4" activePane="bottomLeft" state="frozen"/>
      <selection activeCell="A20" sqref="A20"/>
      <selection pane="bottomLeft" activeCell="A4" sqref="A4"/>
    </sheetView>
  </sheetViews>
  <sheetFormatPr defaultColWidth="12.625" defaultRowHeight="15" x14ac:dyDescent="0.25"/>
  <cols>
    <col min="1" max="2" width="13.625" style="2" customWidth="1"/>
    <col min="3" max="3" width="9.625" style="2" customWidth="1"/>
    <col min="4" max="6" width="9" style="2" customWidth="1"/>
    <col min="7" max="7" width="9.75" style="2" customWidth="1"/>
    <col min="8" max="8" width="9.375" style="2" customWidth="1"/>
    <col min="9" max="11" width="9" style="2" customWidth="1"/>
    <col min="12" max="12" width="9.75" style="2" customWidth="1"/>
    <col min="13" max="13" width="9.375" style="2" customWidth="1"/>
    <col min="14" max="16" width="9" style="2" customWidth="1"/>
    <col min="17" max="17" width="9.75" style="2" customWidth="1"/>
    <col min="18" max="18" width="9.375" style="2" customWidth="1"/>
    <col min="19" max="27" width="8.625" style="2" customWidth="1"/>
    <col min="28" max="16384" width="12.625" style="2"/>
  </cols>
  <sheetData>
    <row r="1" spans="1:22" ht="21.75" thickBot="1" x14ac:dyDescent="0.4">
      <c r="A1" s="1" t="s">
        <v>118</v>
      </c>
      <c r="B1" s="10"/>
      <c r="L1" s="111"/>
    </row>
    <row r="2" spans="1:22" ht="21.75" thickBot="1" x14ac:dyDescent="0.3">
      <c r="A2" s="288" t="s">
        <v>93</v>
      </c>
      <c r="B2" s="289"/>
      <c r="C2" s="286" t="s">
        <v>94</v>
      </c>
      <c r="D2" s="197" t="s">
        <v>98</v>
      </c>
      <c r="E2" s="198"/>
      <c r="F2" s="199"/>
      <c r="G2" s="200"/>
      <c r="H2" s="201"/>
      <c r="I2" s="197" t="s">
        <v>99</v>
      </c>
      <c r="J2" s="198"/>
      <c r="K2" s="199"/>
      <c r="L2" s="200"/>
      <c r="M2" s="200"/>
      <c r="N2" s="202" t="s">
        <v>100</v>
      </c>
      <c r="O2" s="198"/>
      <c r="P2" s="203"/>
      <c r="Q2" s="204"/>
      <c r="R2" s="205"/>
    </row>
    <row r="3" spans="1:22" ht="21.75" thickBot="1" x14ac:dyDescent="0.3">
      <c r="A3" s="290"/>
      <c r="B3" s="291"/>
      <c r="C3" s="287"/>
      <c r="D3" s="207" t="s">
        <v>119</v>
      </c>
      <c r="E3" s="207" t="s">
        <v>101</v>
      </c>
      <c r="F3" s="211" t="s">
        <v>104</v>
      </c>
      <c r="G3" s="207" t="s">
        <v>95</v>
      </c>
      <c r="H3" s="212" t="s">
        <v>96</v>
      </c>
      <c r="I3" s="206" t="s">
        <v>119</v>
      </c>
      <c r="J3" s="207" t="s">
        <v>101</v>
      </c>
      <c r="K3" s="208" t="s">
        <v>104</v>
      </c>
      <c r="L3" s="209" t="s">
        <v>95</v>
      </c>
      <c r="M3" s="210" t="s">
        <v>96</v>
      </c>
      <c r="N3" s="213" t="s">
        <v>119</v>
      </c>
      <c r="O3" s="214" t="s">
        <v>101</v>
      </c>
      <c r="P3" s="215" t="s">
        <v>104</v>
      </c>
      <c r="Q3" s="216" t="s">
        <v>95</v>
      </c>
      <c r="R3" s="217" t="s">
        <v>96</v>
      </c>
    </row>
    <row r="4" spans="1:22" ht="21" x14ac:dyDescent="0.35">
      <c r="A4" s="9" t="s">
        <v>11</v>
      </c>
      <c r="B4" s="118"/>
      <c r="C4" s="8" t="s">
        <v>8</v>
      </c>
      <c r="D4" s="179">
        <f>HYPERLINK(IF($L$1="เปิด", "#'รวมปกติ'!" &amp; ADDRESS(ROW(รวมปกติ!C3), COLUMN(รวมปกติ!C3), 4), ""), รวมปกติ!C3)</f>
        <v>568.22</v>
      </c>
      <c r="E4" s="11">
        <f>HYPERLINK(IF($L$1="เปิด", "#'รวมปกติ'!" &amp; ADDRESS(ROW(รวมปกติ!D3), COLUMN(รวมปกติ!D3), 4), ""), รวมปกติ!D3)</f>
        <v>449</v>
      </c>
      <c r="F4" s="11">
        <f>HYPERLINK(IF($L$1="เปิด", "#'รวมปกติ'!" &amp; ADDRESS(ROW(รวมปกติ!E3), COLUMN(รวมปกติ!E3), 4), ""), รวมปกติ!E3)</f>
        <v>0.5</v>
      </c>
      <c r="G4" s="184">
        <f>HYPERLINK(IF($L$1="เปิด", "#'รวมปกติ'!" &amp; ADDRESS(ROW(รวมปกติ!F3), COLUMN(รวมปกติ!F3), 4), ""), รวมปกติ!F3)</f>
        <v>508.86</v>
      </c>
      <c r="H4" s="185">
        <f>HYPERLINK(IF($L$1="เปิด", "#'รวมปกติ'!" &amp; ADDRESS(ROW(รวมปกติ!G3), COLUMN(รวมปกติ!G3), 4), ""), รวมปกติ!G3)</f>
        <v>513.81000000000006</v>
      </c>
      <c r="I4" s="11">
        <f>HYPERLINK(IF($L$1="เปิด", "#'รวมพิเศษ'!" &amp; ADDRESS(ROW(รวมพิเศษ!C3), COLUMN(รวมพิเศษ!C3), 4), ""), รวมพิเศษ!C3)</f>
        <v>3.06</v>
      </c>
      <c r="J4" s="11">
        <f>HYPERLINK(IF($L$1="เปิด", "#'รวมพิเศษ'!" &amp; ADDRESS(ROW(รวมพิเศษ!D3), COLUMN(รวมพิเศษ!D3), 4), ""), รวมพิเศษ!D3)</f>
        <v>0</v>
      </c>
      <c r="K4" s="11">
        <f>HYPERLINK(IF($L$1="เปิด", "#'รวมพิเศษ'!" &amp; ADDRESS(ROW(รวมพิเศษ!E3), COLUMN(รวมพิเศษ!E3), 4), ""), รวมพิเศษ!E3)</f>
        <v>0</v>
      </c>
      <c r="L4" s="184">
        <f>HYPERLINK(IF($L$1="เปิด", "#'รวมพิเศษ'!" &amp; ADDRESS(ROW(รวมพิเศษ!F3), COLUMN(รวมพิเศษ!F3), 4), ""), รวมพิเศษ!F3)</f>
        <v>1.53</v>
      </c>
      <c r="M4" s="185">
        <f>HYPERLINK(IF($L$1="เปิด", "#'รวมพิเศษ'!" &amp; ADDRESS(ROW(รวมพิเศษ!G3), COLUMN(รวมพิเศษ!G3), 4), ""), รวมพิเศษ!G3)</f>
        <v>1.53</v>
      </c>
      <c r="N4" s="179">
        <f t="shared" ref="N4:N35" si="0">D4+I4</f>
        <v>571.28</v>
      </c>
      <c r="O4" s="11">
        <f t="shared" ref="O4:O35" si="1">E4+J4</f>
        <v>449</v>
      </c>
      <c r="P4" s="11">
        <f t="shared" ref="P4:P35" si="2">F4+K4</f>
        <v>0.5</v>
      </c>
      <c r="Q4" s="184">
        <f t="shared" ref="Q4:Q35" si="3">G4+L4</f>
        <v>510.39</v>
      </c>
      <c r="R4" s="281">
        <f t="shared" ref="R4:R35" si="4">H4+M4</f>
        <v>515.34</v>
      </c>
      <c r="V4" s="14"/>
    </row>
    <row r="5" spans="1:22" ht="21" x14ac:dyDescent="0.35">
      <c r="A5" s="125" t="str">
        <f>HYPERLINK(IF($L$1="เปิด", "#'รวมปกติ'!A3", "#C5"), IF($L$1="เปิด", "ไปรวมปกติ (A3)", ""))</f>
        <v/>
      </c>
      <c r="B5" s="126" t="str">
        <f>HYPERLINK(IF($L$1="เปิด", "#'รวมพิเศษ'!A3", "#D5"), IF($L$1="เปิด", "ไปรวมพิเศษ (A3)", ""))</f>
        <v/>
      </c>
      <c r="C5" s="7" t="s">
        <v>97</v>
      </c>
      <c r="D5" s="180">
        <f>HYPERLINK(IF($L$1="เปิด", "#'รวมปกติ'!" &amp; ADDRESS(ROW(รวมปกติ!C4), COLUMN(รวมปกติ!C4), 4), ""), รวมปกติ!C4)</f>
        <v>4.95</v>
      </c>
      <c r="E5" s="12">
        <f>HYPERLINK(IF($L$1="เปิด", "#'รวมปกติ'!" &amp; ADDRESS(ROW(รวมปกติ!D4), COLUMN(รวมปกติ!D4), 4), ""), รวมปกติ!D4)</f>
        <v>4.95</v>
      </c>
      <c r="F5" s="12">
        <f>HYPERLINK(IF($L$1="เปิด", "#'รวมปกติ'!" &amp; ADDRESS(ROW(รวมปกติ!E4), COLUMN(รวมปกติ!E4), 4), ""), รวมปกติ!E4)</f>
        <v>0</v>
      </c>
      <c r="G5" s="186">
        <f>HYPERLINK(IF($L$1="เปิด", "#'รวมปกติ'!" &amp; ADDRESS(ROW(รวมปกติ!F4), COLUMN(รวมปกติ!F4), 4), ""), รวมปกติ!F4)</f>
        <v>4.95</v>
      </c>
      <c r="H5" s="187"/>
      <c r="I5" s="12">
        <f>HYPERLINK(IF($L$1="เปิด", "#'รวมพิเศษ'!" &amp; ADDRESS(ROW(รวมพิเศษ!C4), COLUMN(รวมพิเศษ!C4), 4), ""), รวมพิเศษ!C4)</f>
        <v>0</v>
      </c>
      <c r="J5" s="12">
        <f>HYPERLINK(IF($L$1="เปิด", "#'รวมพิเศษ'!" &amp; ADDRESS(ROW(รวมพิเศษ!D4), COLUMN(รวมพิเศษ!D4), 4), ""), รวมพิเศษ!D4)</f>
        <v>0</v>
      </c>
      <c r="K5" s="12">
        <f>HYPERLINK(IF($L$1="เปิด", "#'รวมพิเศษ'!" &amp; ADDRESS(ROW(รวมพิเศษ!E4), COLUMN(รวมพิเศษ!E4), 4), ""), รวมพิเศษ!E4)</f>
        <v>0</v>
      </c>
      <c r="L5" s="186">
        <f>HYPERLINK(IF($L$1="เปิด", "#'รวมพิเศษ'!" &amp; ADDRESS(ROW(รวมพิเศษ!F4), COLUMN(รวมพิเศษ!F4), 4), ""), รวมพิเศษ!F4)</f>
        <v>0</v>
      </c>
      <c r="M5" s="187"/>
      <c r="N5" s="280">
        <f t="shared" si="0"/>
        <v>4.95</v>
      </c>
      <c r="O5" s="12">
        <f t="shared" si="1"/>
        <v>4.95</v>
      </c>
      <c r="P5" s="12">
        <f t="shared" si="2"/>
        <v>0</v>
      </c>
      <c r="Q5" s="186">
        <f t="shared" si="3"/>
        <v>4.95</v>
      </c>
      <c r="R5" s="282">
        <f t="shared" si="4"/>
        <v>0</v>
      </c>
    </row>
    <row r="6" spans="1:22" ht="21" x14ac:dyDescent="0.35">
      <c r="A6" s="117" t="s">
        <v>6</v>
      </c>
      <c r="B6" s="119"/>
      <c r="C6" s="6" t="s">
        <v>8</v>
      </c>
      <c r="D6" s="181">
        <f>HYPERLINK(IF($L$1="เปิด", "#'รวมปกติ'!" &amp; ADDRESS(ROW(รวมปกติ!C5), COLUMN(รวมปกติ!C5), 4), ""), รวมปกติ!C5)</f>
        <v>515.22</v>
      </c>
      <c r="E6" s="11">
        <f>HYPERLINK(IF($L$1="เปิด", "#'รวมปกติ'!" &amp; ADDRESS(ROW(รวมปกติ!D5), COLUMN(รวมปกติ!D5), 4), ""), รวมปกติ!D5)</f>
        <v>468.28</v>
      </c>
      <c r="F6" s="11">
        <f>HYPERLINK(IF($L$1="เปิด", "#'รวมปกติ'!" &amp; ADDRESS(ROW(รวมปกติ!E5), COLUMN(รวมปกติ!E5), 4), ""), รวมปกติ!E5)</f>
        <v>0</v>
      </c>
      <c r="G6" s="184">
        <f>HYPERLINK(IF($L$1="เปิด", "#'รวมปกติ'!" &amp; ADDRESS(ROW(รวมปกติ!F5), COLUMN(รวมปกติ!F5), 4), ""), รวมปกติ!F5)</f>
        <v>491.75</v>
      </c>
      <c r="H6" s="185">
        <f>HYPERLINK(IF($L$1="เปิด", "#'รวมปกติ'!" &amp; ADDRESS(ROW(รวมปกติ!G5), COLUMN(รวมปกติ!G5), 4), ""), รวมปกติ!G5)</f>
        <v>491.75</v>
      </c>
      <c r="I6" s="11">
        <f>HYPERLINK(IF($L$1="เปิด", "#'รวมพิเศษ'!" &amp; ADDRESS(ROW(รวมพิเศษ!C5), COLUMN(รวมพิเศษ!C5), 4), ""), รวมพิเศษ!C5)</f>
        <v>1477.06</v>
      </c>
      <c r="J6" s="11">
        <f>HYPERLINK(IF($L$1="เปิด", "#'รวมพิเศษ'!" &amp; ADDRESS(ROW(รวมพิเศษ!D5), COLUMN(รวมพิเศษ!D5), 4), ""), รวมพิเศษ!D5)</f>
        <v>1380.5</v>
      </c>
      <c r="K6" s="11">
        <f>HYPERLINK(IF($L$1="เปิด", "#'รวมพิเศษ'!" &amp; ADDRESS(ROW(รวมพิเศษ!E5), COLUMN(รวมพิเศษ!E5), 4), ""), รวมพิเศษ!E5)</f>
        <v>1</v>
      </c>
      <c r="L6" s="184">
        <f>HYPERLINK(IF($L$1="เปิด", "#'รวมพิเศษ'!" &amp; ADDRESS(ROW(รวมพิเศษ!F5), COLUMN(รวมพิเศษ!F5), 4), ""), รวมพิเศษ!F5)</f>
        <v>1429.28</v>
      </c>
      <c r="M6" s="185">
        <f>HYPERLINK(IF($L$1="เปิด", "#'รวมพิเศษ'!" &amp; ADDRESS(ROW(รวมพิเศษ!G5), COLUMN(รวมพิเศษ!G5), 4), ""), รวมพิเศษ!G5)</f>
        <v>1607.48</v>
      </c>
      <c r="N6" s="181">
        <f t="shared" si="0"/>
        <v>1992.28</v>
      </c>
      <c r="O6" s="11">
        <f t="shared" si="1"/>
        <v>1848.78</v>
      </c>
      <c r="P6" s="11">
        <f t="shared" si="2"/>
        <v>1</v>
      </c>
      <c r="Q6" s="184">
        <f t="shared" si="3"/>
        <v>1921.03</v>
      </c>
      <c r="R6" s="283">
        <f t="shared" si="4"/>
        <v>2099.23</v>
      </c>
    </row>
    <row r="7" spans="1:22" ht="21" x14ac:dyDescent="0.35">
      <c r="A7" s="125" t="str">
        <f>HYPERLINK(IF($L$1="เปิด", "#'รวมปกติ'!A5", "#C7"), IF($L$1="เปิด", "ไปรวมปกติ (A5)", ""))</f>
        <v/>
      </c>
      <c r="B7" s="126" t="str">
        <f>HYPERLINK(IF($L$1="เปิด", "#'รวมพิเศษ'!A5", "#D7"), IF($L$1="เปิด", "ไปรวมพิเศษ (A5)", ""))</f>
        <v/>
      </c>
      <c r="C7" s="7" t="s">
        <v>97</v>
      </c>
      <c r="D7" s="180">
        <f>HYPERLINK(IF($L$1="เปิด", "#'รวมปกติ'!" &amp; ADDRESS(ROW(รวมปกติ!C6), COLUMN(รวมปกติ!C6), 4), ""), รวมปกติ!C6)</f>
        <v>0</v>
      </c>
      <c r="E7" s="12">
        <f>HYPERLINK(IF($L$1="เปิด", "#'รวมปกติ'!" &amp; ADDRESS(ROW(รวมปกติ!D6), COLUMN(รวมปกติ!D6), 4), ""), รวมปกติ!D6)</f>
        <v>0</v>
      </c>
      <c r="F7" s="12">
        <f>HYPERLINK(IF($L$1="เปิด", "#'รวมปกติ'!" &amp; ADDRESS(ROW(รวมปกติ!E6), COLUMN(รวมปกติ!E6), 4), ""), รวมปกติ!E6)</f>
        <v>0</v>
      </c>
      <c r="G7" s="186">
        <f>HYPERLINK(IF($L$1="เปิด", "#'รวมปกติ'!" &amp; ADDRESS(ROW(รวมปกติ!F6), COLUMN(รวมปกติ!F6), 4), ""), รวมปกติ!F6)</f>
        <v>0</v>
      </c>
      <c r="H7" s="187"/>
      <c r="I7" s="12">
        <f>HYPERLINK(IF($L$1="เปิด", "#'รวมพิเศษ'!" &amp; ADDRESS(ROW(รวมพิเศษ!C6), COLUMN(รวมพิเศษ!C6), 4), ""), รวมพิเศษ!C6)</f>
        <v>189.45000000000002</v>
      </c>
      <c r="J7" s="12">
        <f>HYPERLINK(IF($L$1="เปิด", "#'รวมพิเศษ'!" &amp; ADDRESS(ROW(รวมพิเศษ!D6), COLUMN(รวมพิเศษ!D6), 4), ""), รวมพิเศษ!D6)</f>
        <v>162.45000000000002</v>
      </c>
      <c r="K7" s="12">
        <f>HYPERLINK(IF($L$1="เปิด", "#'รวมพิเศษ'!" &amp; ADDRESS(ROW(รวมพิเศษ!E6), COLUMN(รวมพิเศษ!E6), 4), ""), รวมพิเศษ!E6)</f>
        <v>4.5</v>
      </c>
      <c r="L7" s="186">
        <f>HYPERLINK(IF($L$1="เปิด", "#'รวมพิเศษ'!" &amp; ADDRESS(ROW(รวมพิเศษ!F6), COLUMN(รวมพิเศษ!F6), 4), ""), รวมพิเศษ!F6)</f>
        <v>178.20000000000002</v>
      </c>
      <c r="M7" s="187"/>
      <c r="N7" s="280">
        <f t="shared" si="0"/>
        <v>189.45000000000002</v>
      </c>
      <c r="O7" s="12">
        <f t="shared" si="1"/>
        <v>162.45000000000002</v>
      </c>
      <c r="P7" s="12">
        <f t="shared" si="2"/>
        <v>4.5</v>
      </c>
      <c r="Q7" s="186">
        <f t="shared" si="3"/>
        <v>178.20000000000002</v>
      </c>
      <c r="R7" s="282">
        <f t="shared" si="4"/>
        <v>0</v>
      </c>
    </row>
    <row r="8" spans="1:22" ht="21" x14ac:dyDescent="0.35">
      <c r="A8" s="9" t="s">
        <v>12</v>
      </c>
      <c r="B8" s="120"/>
      <c r="C8" s="8" t="s">
        <v>8</v>
      </c>
      <c r="D8" s="182">
        <f>HYPERLINK(IF($L$1="เปิด", "#'รวมปกติ'!" &amp; ADDRESS(ROW(รวมปกติ!C7), COLUMN(รวมปกติ!C7), 4), ""), รวมปกติ!C7)</f>
        <v>538.83000000000004</v>
      </c>
      <c r="E8" s="13">
        <f>HYPERLINK(IF($L$1="เปิด", "#'รวมปกติ'!" &amp; ADDRESS(ROW(รวมปกติ!D7), COLUMN(รวมปกติ!D7), 4), ""), รวมปกติ!D7)</f>
        <v>449.56</v>
      </c>
      <c r="F8" s="13">
        <f>HYPERLINK(IF($L$1="เปิด", "#'รวมปกติ'!" &amp; ADDRESS(ROW(รวมปกติ!E7), COLUMN(รวมปกติ!E7), 4), ""), รวมปกติ!E7)</f>
        <v>2.11</v>
      </c>
      <c r="G8" s="188">
        <f>HYPERLINK(IF($L$1="เปิด", "#'รวมปกติ'!" &amp; ADDRESS(ROW(รวมปกติ!F7), COLUMN(รวมปกติ!F7), 4), ""), รวมปกติ!F7)</f>
        <v>495.25</v>
      </c>
      <c r="H8" s="189">
        <f>HYPERLINK(IF($L$1="เปิด", "#'รวมปกติ'!" &amp; ADDRESS(ROW(รวมปกติ!G7), COLUMN(รวมปกติ!G7), 4), ""), รวมปกติ!G7)</f>
        <v>570.41999999999996</v>
      </c>
      <c r="I8" s="11">
        <f>HYPERLINK(IF($L$1="เปิด", "#'รวมพิเศษ'!" &amp; ADDRESS(ROW(รวมพิเศษ!C7), COLUMN(รวมพิเศษ!C7), 4), ""), รวมพิเศษ!C7)</f>
        <v>0</v>
      </c>
      <c r="J8" s="13">
        <f>HYPERLINK(IF($L$1="เปิด", "#'รวมพิเศษ'!" &amp; ADDRESS(ROW(รวมพิเศษ!D7), COLUMN(รวมพิเศษ!D7), 4), ""), รวมพิเศษ!D7)</f>
        <v>0</v>
      </c>
      <c r="K8" s="13">
        <f>HYPERLINK(IF($L$1="เปิด", "#'รวมพิเศษ'!" &amp; ADDRESS(ROW(รวมพิเศษ!E7), COLUMN(รวมพิเศษ!E7), 4), ""), รวมพิเศษ!E7)</f>
        <v>0</v>
      </c>
      <c r="L8" s="188">
        <f>HYPERLINK(IF($L$1="เปิด", "#'รวมพิเศษ'!" &amp; ADDRESS(ROW(รวมพิเศษ!F7), COLUMN(รวมพิเศษ!F7), 4), ""), รวมพิเศษ!F7)</f>
        <v>0</v>
      </c>
      <c r="M8" s="189">
        <f>HYPERLINK(IF($L$1="เปิด", "#'รวมพิเศษ'!" &amp; ADDRESS(ROW(รวมพิเศษ!G7), COLUMN(รวมพิเศษ!G7), 4), ""), รวมพิเศษ!G7)</f>
        <v>63.21</v>
      </c>
      <c r="N8" s="181">
        <f t="shared" si="0"/>
        <v>538.83000000000004</v>
      </c>
      <c r="O8" s="11">
        <f t="shared" si="1"/>
        <v>449.56</v>
      </c>
      <c r="P8" s="11">
        <f t="shared" si="2"/>
        <v>2.11</v>
      </c>
      <c r="Q8" s="184">
        <f t="shared" si="3"/>
        <v>495.25</v>
      </c>
      <c r="R8" s="283">
        <f t="shared" si="4"/>
        <v>633.63</v>
      </c>
    </row>
    <row r="9" spans="1:22" ht="21" x14ac:dyDescent="0.35">
      <c r="A9" s="125" t="str">
        <f>HYPERLINK(IF($L$1="เปิด", "#'รวมปกติ'!A7", "#C9"), IF($L$1="เปิด", "ไปรวมปกติ (A7)", ""))</f>
        <v/>
      </c>
      <c r="B9" s="126" t="str">
        <f>HYPERLINK(IF($L$1="เปิด", "#'รวมพิเศษ'!A7", "#D9"), IF($L$1="เปิด", "ไปรวมพิเศษ (A7)", ""))</f>
        <v/>
      </c>
      <c r="C9" s="7" t="s">
        <v>97</v>
      </c>
      <c r="D9" s="180">
        <f>HYPERLINK(IF($L$1="เปิด", "#'รวมปกติ'!" &amp; ADDRESS(ROW(รวมปกติ!C8), COLUMN(รวมปกติ!C8), 4), ""), รวมปกติ!C8)</f>
        <v>71.83</v>
      </c>
      <c r="E9" s="12">
        <f>HYPERLINK(IF($L$1="เปิด", "#'รวมปกติ'!" &amp; ADDRESS(ROW(รวมปกติ!D8), COLUMN(รวมปกติ!D8), 4), ""), รวมปกติ!D8)</f>
        <v>78.5</v>
      </c>
      <c r="F9" s="12">
        <f>HYPERLINK(IF($L$1="เปิด", "#'รวมปกติ'!" &amp; ADDRESS(ROW(รวมปกติ!E8), COLUMN(รวมปกติ!E8), 4), ""), รวมปกติ!E8)</f>
        <v>0</v>
      </c>
      <c r="G9" s="186">
        <f>HYPERLINK(IF($L$1="เปิด", "#'รวมปกติ'!" &amp; ADDRESS(ROW(รวมปกติ!F8), COLUMN(รวมปกติ!F8), 4), ""), รวมปกติ!F8)</f>
        <v>75.17</v>
      </c>
      <c r="H9" s="187"/>
      <c r="I9" s="12">
        <f>HYPERLINK(IF($L$1="เปิด", "#'รวมพิเศษ'!" &amp; ADDRESS(ROW(รวมพิเศษ!C8), COLUMN(รวมพิเศษ!C8), 4), ""), รวมพิเศษ!C8)</f>
        <v>61.08</v>
      </c>
      <c r="J9" s="12">
        <f>HYPERLINK(IF($L$1="เปิด", "#'รวมพิเศษ'!" &amp; ADDRESS(ROW(รวมพิเศษ!D8), COLUMN(รวมพิเศษ!D8), 4), ""), รวมพิเศษ!D8)</f>
        <v>65.33</v>
      </c>
      <c r="K9" s="12">
        <f>HYPERLINK(IF($L$1="เปิด", "#'รวมพิเศษ'!" &amp; ADDRESS(ROW(รวมพิเศษ!E8), COLUMN(รวมพิเศษ!E8), 4), ""), รวมพิเศษ!E8)</f>
        <v>0</v>
      </c>
      <c r="L9" s="186">
        <f>HYPERLINK(IF($L$1="เปิด", "#'รวมพิเศษ'!" &amp; ADDRESS(ROW(รวมพิเศษ!F8), COLUMN(รวมพิเศษ!F8), 4), ""), รวมพิเศษ!F8)</f>
        <v>63.21</v>
      </c>
      <c r="M9" s="187"/>
      <c r="N9" s="280">
        <f t="shared" si="0"/>
        <v>132.91</v>
      </c>
      <c r="O9" s="12">
        <f t="shared" si="1"/>
        <v>143.82999999999998</v>
      </c>
      <c r="P9" s="12">
        <f t="shared" si="2"/>
        <v>0</v>
      </c>
      <c r="Q9" s="186">
        <f t="shared" si="3"/>
        <v>138.38</v>
      </c>
      <c r="R9" s="282">
        <f t="shared" si="4"/>
        <v>0</v>
      </c>
    </row>
    <row r="10" spans="1:22" ht="21" x14ac:dyDescent="0.35">
      <c r="A10" s="9" t="s">
        <v>13</v>
      </c>
      <c r="B10" s="120"/>
      <c r="C10" s="8" t="s">
        <v>8</v>
      </c>
      <c r="D10" s="182">
        <f>HYPERLINK(IF($L$1="เปิด", "#'รวมปกติ'!" &amp; ADDRESS(ROW(รวมปกติ!C9), COLUMN(รวมปกติ!C9), 4), ""), รวมปกติ!C9)</f>
        <v>491.89</v>
      </c>
      <c r="E10" s="13">
        <f>HYPERLINK(IF($L$1="เปิด", "#'รวมปกติ'!" &amp; ADDRESS(ROW(รวมปกติ!D9), COLUMN(รวมปกติ!D9), 4), ""), รวมปกติ!D9)</f>
        <v>100.17</v>
      </c>
      <c r="F10" s="13">
        <f>HYPERLINK(IF($L$1="เปิด", "#'รวมปกติ'!" &amp; ADDRESS(ROW(รวมปกติ!E9), COLUMN(รวมปกติ!E9), 4), ""), รวมปกติ!E9)</f>
        <v>23</v>
      </c>
      <c r="G10" s="188">
        <f>HYPERLINK(IF($L$1="เปิด", "#'รวมปกติ'!" &amp; ADDRESS(ROW(รวมปกติ!F9), COLUMN(รวมปกติ!F9), 4), ""), รวมปกติ!F9)</f>
        <v>307.52999999999997</v>
      </c>
      <c r="H10" s="189">
        <f>HYPERLINK(IF($L$1="เปิด", "#'รวมปกติ'!" &amp; ADDRESS(ROW(รวมปกติ!G9), COLUMN(รวมปกติ!G9), 4), ""), รวมปกติ!G9)</f>
        <v>307.52999999999997</v>
      </c>
      <c r="I10" s="11">
        <f>HYPERLINK(IF($L$1="เปิด", "#'รวมพิเศษ'!" &amp; ADDRESS(ROW(รวมพิเศษ!C9), COLUMN(รวมพิเศษ!C9), 4), ""), รวมพิเศษ!C9)</f>
        <v>24.78</v>
      </c>
      <c r="J10" s="13">
        <f>HYPERLINK(IF($L$1="เปิด", "#'รวมพิเศษ'!" &amp; ADDRESS(ROW(รวมพิเศษ!D9), COLUMN(รวมพิเศษ!D9), 4), ""), รวมพิเศษ!D9)</f>
        <v>2.11</v>
      </c>
      <c r="K10" s="13">
        <f>HYPERLINK(IF($L$1="เปิด", "#'รวมพิเศษ'!" &amp; ADDRESS(ROW(รวมพิเศษ!E9), COLUMN(รวมพิเศษ!E9), 4), ""), รวมพิเศษ!E9)</f>
        <v>0</v>
      </c>
      <c r="L10" s="188">
        <f>HYPERLINK(IF($L$1="เปิด", "#'รวมพิเศษ'!" &amp; ADDRESS(ROW(รวมพิเศษ!F9), COLUMN(รวมพิเศษ!F9), 4), ""), รวมพิเศษ!F9)</f>
        <v>13.44</v>
      </c>
      <c r="M10" s="189">
        <f>HYPERLINK(IF($L$1="เปิด", "#'รวมพิเศษ'!" &amp; ADDRESS(ROW(รวมพิเศษ!G9), COLUMN(รวมพิเศษ!G9), 4), ""), รวมพิเศษ!G9)</f>
        <v>13.44</v>
      </c>
      <c r="N10" s="181">
        <f t="shared" si="0"/>
        <v>516.66999999999996</v>
      </c>
      <c r="O10" s="11">
        <f t="shared" si="1"/>
        <v>102.28</v>
      </c>
      <c r="P10" s="11">
        <f t="shared" si="2"/>
        <v>23</v>
      </c>
      <c r="Q10" s="184">
        <f t="shared" si="3"/>
        <v>320.96999999999997</v>
      </c>
      <c r="R10" s="283">
        <f t="shared" si="4"/>
        <v>320.96999999999997</v>
      </c>
    </row>
    <row r="11" spans="1:22" ht="21" x14ac:dyDescent="0.35">
      <c r="A11" s="125" t="str">
        <f>HYPERLINK(IF($L$1="เปิด", "#'รวมปกติ'!A9", "#C11"), IF($L$1="เปิด", "ไปรวมปกติ (A9)", ""))</f>
        <v/>
      </c>
      <c r="B11" s="126" t="str">
        <f>HYPERLINK(IF($L$1="เปิด", "#'รวมพิเศษ'!A9", "#D11"), IF($L$1="เปิด", "ไปรวมพิเศษ (A9)", ""))</f>
        <v/>
      </c>
      <c r="C11" s="7" t="s">
        <v>97</v>
      </c>
      <c r="D11" s="180">
        <f>HYPERLINK(IF($L$1="เปิด", "#'รวมปกติ'!" &amp; ADDRESS(ROW(รวมปกติ!C10), COLUMN(รวมปกติ!C10), 4), ""), รวมปกติ!C10)</f>
        <v>0</v>
      </c>
      <c r="E11" s="12">
        <f>HYPERLINK(IF($L$1="เปิด", "#'รวมปกติ'!" &amp; ADDRESS(ROW(รวมปกติ!D10), COLUMN(รวมปกติ!D10), 4), ""), รวมปกติ!D10)</f>
        <v>0</v>
      </c>
      <c r="F11" s="12">
        <f>HYPERLINK(IF($L$1="เปิด", "#'รวมปกติ'!" &amp; ADDRESS(ROW(รวมปกติ!E10), COLUMN(รวมปกติ!E10), 4), ""), รวมปกติ!E10)</f>
        <v>0</v>
      </c>
      <c r="G11" s="186">
        <f>HYPERLINK(IF($L$1="เปิด", "#'รวมปกติ'!" &amp; ADDRESS(ROW(รวมปกติ!F10), COLUMN(รวมปกติ!F10), 4), ""), รวมปกติ!F10)</f>
        <v>0</v>
      </c>
      <c r="H11" s="187"/>
      <c r="I11" s="12">
        <f>HYPERLINK(IF($L$1="เปิด", "#'รวมพิเศษ'!" &amp; ADDRESS(ROW(รวมพิเศษ!C10), COLUMN(รวมพิเศษ!C10), 4), ""), รวมพิเศษ!C10)</f>
        <v>0</v>
      </c>
      <c r="J11" s="12">
        <f>HYPERLINK(IF($L$1="เปิด", "#'รวมพิเศษ'!" &amp; ADDRESS(ROW(รวมพิเศษ!D10), COLUMN(รวมพิเศษ!D10), 4), ""), รวมพิเศษ!D10)</f>
        <v>0</v>
      </c>
      <c r="K11" s="12">
        <f>HYPERLINK(IF($L$1="เปิด", "#'รวมพิเศษ'!" &amp; ADDRESS(ROW(รวมพิเศษ!E10), COLUMN(รวมพิเศษ!E10), 4), ""), รวมพิเศษ!E10)</f>
        <v>0</v>
      </c>
      <c r="L11" s="186">
        <f>HYPERLINK(IF($L$1="เปิด", "#'รวมพิเศษ'!" &amp; ADDRESS(ROW(รวมพิเศษ!F10), COLUMN(รวมพิเศษ!F10), 4), ""), รวมพิเศษ!F10)</f>
        <v>0</v>
      </c>
      <c r="M11" s="187"/>
      <c r="N11" s="280">
        <f t="shared" si="0"/>
        <v>0</v>
      </c>
      <c r="O11" s="12">
        <f t="shared" si="1"/>
        <v>0</v>
      </c>
      <c r="P11" s="12">
        <f t="shared" si="2"/>
        <v>0</v>
      </c>
      <c r="Q11" s="186">
        <f t="shared" si="3"/>
        <v>0</v>
      </c>
      <c r="R11" s="282">
        <f t="shared" si="4"/>
        <v>0</v>
      </c>
    </row>
    <row r="12" spans="1:22" ht="21" x14ac:dyDescent="0.35">
      <c r="A12" s="9" t="s">
        <v>23</v>
      </c>
      <c r="B12" s="120"/>
      <c r="C12" s="8" t="s">
        <v>8</v>
      </c>
      <c r="D12" s="182">
        <f>HYPERLINK(IF($L$1="เปิด", "#'รวมปกติ'!" &amp; ADDRESS(ROW(รวมปกติ!C11), COLUMN(รวมปกติ!C11), 4), ""), รวมปกติ!C11)</f>
        <v>198.39</v>
      </c>
      <c r="E12" s="13">
        <f>HYPERLINK(IF($L$1="เปิด", "#'รวมปกติ'!" &amp; ADDRESS(ROW(รวมปกติ!D11), COLUMN(รวมปกติ!D11), 4), ""), รวมปกติ!D11)</f>
        <v>212</v>
      </c>
      <c r="F12" s="13">
        <f>HYPERLINK(IF($L$1="เปิด", "#'รวมปกติ'!" &amp; ADDRESS(ROW(รวมปกติ!E11), COLUMN(รวมปกติ!E11), 4), ""), รวมปกติ!E11)</f>
        <v>0</v>
      </c>
      <c r="G12" s="188">
        <f>HYPERLINK(IF($L$1="เปิด", "#'รวมปกติ'!" &amp; ADDRESS(ROW(รวมปกติ!F11), COLUMN(รวมปกติ!F11), 4), ""), รวมปกติ!F11)</f>
        <v>205.19</v>
      </c>
      <c r="H12" s="189">
        <f>HYPERLINK(IF($L$1="เปิด", "#'รวมปกติ'!" &amp; ADDRESS(ROW(รวมปกติ!G11), COLUMN(รวมปกติ!G11), 4), ""), รวมปกติ!G11)</f>
        <v>216.19</v>
      </c>
      <c r="I12" s="13">
        <f>HYPERLINK(IF($L$1="เปิด", "#'รวมพิเศษ'!" &amp; ADDRESS(ROW(รวมพิเศษ!C11), COLUMN(รวมพิเศษ!C11), 4), ""), รวมพิเศษ!C11)</f>
        <v>4.0599999999999996</v>
      </c>
      <c r="J12" s="13">
        <f>HYPERLINK(IF($L$1="เปิด", "#'รวมพิเศษ'!" &amp; ADDRESS(ROW(รวมพิเศษ!D11), COLUMN(รวมพิเศษ!D11), 4), ""), รวมพิเศษ!D11)</f>
        <v>5.67</v>
      </c>
      <c r="K12" s="13">
        <f>HYPERLINK(IF($L$1="เปิด", "#'รวมพิเศษ'!" &amp; ADDRESS(ROW(รวมพิเศษ!E11), COLUMN(รวมพิเศษ!E11), 4), ""), รวมพิเศษ!E11)</f>
        <v>0</v>
      </c>
      <c r="L12" s="188">
        <f>HYPERLINK(IF($L$1="เปิด", "#'รวมพิเศษ'!" &amp; ADDRESS(ROW(รวมพิเศษ!F11), COLUMN(รวมพิเศษ!F11), 4), ""), รวมพิเศษ!F11)</f>
        <v>4.8600000000000003</v>
      </c>
      <c r="M12" s="189">
        <f>HYPERLINK(IF($L$1="เปิด", "#'รวมพิเศษ'!" &amp; ADDRESS(ROW(รวมพิเศษ!G11), COLUMN(รวมพิเศษ!G11), 4), ""), รวมพิเศษ!G11)</f>
        <v>4.8600000000000003</v>
      </c>
      <c r="N12" s="181">
        <f t="shared" si="0"/>
        <v>202.45</v>
      </c>
      <c r="O12" s="11">
        <f t="shared" si="1"/>
        <v>217.67</v>
      </c>
      <c r="P12" s="11">
        <f t="shared" si="2"/>
        <v>0</v>
      </c>
      <c r="Q12" s="184">
        <f t="shared" si="3"/>
        <v>210.05</v>
      </c>
      <c r="R12" s="283">
        <f t="shared" si="4"/>
        <v>221.05</v>
      </c>
    </row>
    <row r="13" spans="1:22" ht="21" x14ac:dyDescent="0.35">
      <c r="A13" s="125" t="str">
        <f>HYPERLINK(IF($L$1="เปิด", "#'รวมปกติ'!A11", "#C13"), IF($L$1="เปิด", "ไปรวมปกติ (A11)", ""))</f>
        <v/>
      </c>
      <c r="B13" s="126" t="str">
        <f>HYPERLINK(IF($L$1="เปิด", "#'รวมพิเศษ'!A11", "#D13"), IF($L$1="เปิด", "ไปรวมพิเศษ (A11)", ""))</f>
        <v/>
      </c>
      <c r="C13" s="7" t="s">
        <v>97</v>
      </c>
      <c r="D13" s="180">
        <f>HYPERLINK(IF($L$1="เปิด", "#'รวมปกติ'!" &amp; ADDRESS(ROW(รวมปกติ!C12), COLUMN(รวมปกติ!C12), 4), ""), รวมปกติ!C12)</f>
        <v>12</v>
      </c>
      <c r="E13" s="12">
        <f>HYPERLINK(IF($L$1="เปิด", "#'รวมปกติ'!" &amp; ADDRESS(ROW(รวมปกติ!D12), COLUMN(รวมปกติ!D12), 4), ""), รวมปกติ!D12)</f>
        <v>10</v>
      </c>
      <c r="F13" s="12">
        <f>HYPERLINK(IF($L$1="เปิด", "#'รวมปกติ'!" &amp; ADDRESS(ROW(รวมปกติ!E12), COLUMN(รวมปกติ!E12), 4), ""), รวมปกติ!E12)</f>
        <v>0</v>
      </c>
      <c r="G13" s="186">
        <f>HYPERLINK(IF($L$1="เปิด", "#'รวมปกติ'!" &amp; ADDRESS(ROW(รวมปกติ!F12), COLUMN(รวมปกติ!F12), 4), ""), รวมปกติ!F12)</f>
        <v>11</v>
      </c>
      <c r="H13" s="187"/>
      <c r="I13" s="12">
        <f>HYPERLINK(IF($L$1="เปิด", "#'รวมพิเศษ'!" &amp; ADDRESS(ROW(รวมพิเศษ!C12), COLUMN(รวมพิเศษ!C12), 4), ""), รวมพิเศษ!C12)</f>
        <v>0</v>
      </c>
      <c r="J13" s="12">
        <f>HYPERLINK(IF($L$1="เปิด", "#'รวมพิเศษ'!" &amp; ADDRESS(ROW(รวมพิเศษ!D12), COLUMN(รวมพิเศษ!D12), 4), ""), รวมพิเศษ!D12)</f>
        <v>0</v>
      </c>
      <c r="K13" s="12">
        <f>HYPERLINK(IF($L$1="เปิด", "#'รวมพิเศษ'!" &amp; ADDRESS(ROW(รวมพิเศษ!E12), COLUMN(รวมพิเศษ!E12), 4), ""), รวมพิเศษ!E12)</f>
        <v>0</v>
      </c>
      <c r="L13" s="186">
        <f>HYPERLINK(IF($L$1="เปิด", "#'รวมพิเศษ'!" &amp; ADDRESS(ROW(รวมพิเศษ!F12), COLUMN(รวมพิเศษ!F12), 4), ""), รวมพิเศษ!F12)</f>
        <v>0</v>
      </c>
      <c r="M13" s="187"/>
      <c r="N13" s="280">
        <f t="shared" si="0"/>
        <v>12</v>
      </c>
      <c r="O13" s="12">
        <f t="shared" si="1"/>
        <v>10</v>
      </c>
      <c r="P13" s="12">
        <f t="shared" si="2"/>
        <v>0</v>
      </c>
      <c r="Q13" s="186">
        <f t="shared" si="3"/>
        <v>11</v>
      </c>
      <c r="R13" s="282">
        <f t="shared" si="4"/>
        <v>0</v>
      </c>
    </row>
    <row r="14" spans="1:22" ht="21" x14ac:dyDescent="0.35">
      <c r="A14" s="9" t="s">
        <v>24</v>
      </c>
      <c r="B14" s="120"/>
      <c r="C14" s="8" t="s">
        <v>8</v>
      </c>
      <c r="D14" s="182">
        <f>HYPERLINK(IF($L$1="เปิด", "#'รวมปกติ'!" &amp; ADDRESS(ROW(รวมปกติ!C13), COLUMN(รวมปกติ!C13), 4), ""), รวมปกติ!C13)</f>
        <v>1052.83</v>
      </c>
      <c r="E14" s="13">
        <f>HYPERLINK(IF($L$1="เปิด", "#'รวมปกติ'!" &amp; ADDRESS(ROW(รวมปกติ!D13), COLUMN(รวมปกติ!D13), 4), ""), รวมปกติ!D13)</f>
        <v>1104.17</v>
      </c>
      <c r="F14" s="13">
        <f>HYPERLINK(IF($L$1="เปิด", "#'รวมปกติ'!" &amp; ADDRESS(ROW(รวมปกติ!E13), COLUMN(รวมปกติ!E13), 4), ""), รวมปกติ!E13)</f>
        <v>59.06</v>
      </c>
      <c r="G14" s="188">
        <f>HYPERLINK(IF($L$1="เปิด", "#'รวมปกติ'!" &amp; ADDRESS(ROW(รวมปกติ!F13), COLUMN(รวมปกติ!F13), 4), ""), รวมปกติ!F13)</f>
        <v>1108.03</v>
      </c>
      <c r="H14" s="189">
        <f>HYPERLINK(IF($L$1="เปิด", "#'รวมปกติ'!" &amp; ADDRESS(ROW(รวมปกติ!G13), COLUMN(รวมปกติ!G13), 4), ""), รวมปกติ!G13)</f>
        <v>1110.45</v>
      </c>
      <c r="I14" s="13">
        <f>HYPERLINK(IF($L$1="เปิด", "#'รวมพิเศษ'!" &amp; ADDRESS(ROW(รวมพิเศษ!C13), COLUMN(รวมพิเศษ!C13), 4), ""), รวมพิเศษ!C13)</f>
        <v>30.17</v>
      </c>
      <c r="J14" s="13">
        <f>HYPERLINK(IF($L$1="เปิด", "#'รวมพิเศษ'!" &amp; ADDRESS(ROW(รวมพิเศษ!D13), COLUMN(รวมพิเศษ!D13), 4), ""), รวมพิเศษ!D13)</f>
        <v>2.11</v>
      </c>
      <c r="K14" s="13">
        <f>HYPERLINK(IF($L$1="เปิด", "#'รวมพิเศษ'!" &amp; ADDRESS(ROW(รวมพิเศษ!E13), COLUMN(รวมพิเศษ!E13), 4), ""), รวมพิเศษ!E13)</f>
        <v>0</v>
      </c>
      <c r="L14" s="188">
        <f>HYPERLINK(IF($L$1="เปิด", "#'รวมพิเศษ'!" &amp; ADDRESS(ROW(รวมพิเศษ!F13), COLUMN(รวมพิเศษ!F13), 4), ""), รวมพิเศษ!F13)</f>
        <v>16.14</v>
      </c>
      <c r="M14" s="189">
        <f>HYPERLINK(IF($L$1="เปิด", "#'รวมพิเศษ'!" &amp; ADDRESS(ROW(รวมพิเศษ!G13), COLUMN(รวมพิเศษ!G13), 4), ""), รวมพิเศษ!G13)</f>
        <v>16.14</v>
      </c>
      <c r="N14" s="181">
        <f t="shared" si="0"/>
        <v>1083</v>
      </c>
      <c r="O14" s="11">
        <f t="shared" si="1"/>
        <v>1106.28</v>
      </c>
      <c r="P14" s="11">
        <f t="shared" si="2"/>
        <v>59.06</v>
      </c>
      <c r="Q14" s="184">
        <f t="shared" si="3"/>
        <v>1124.17</v>
      </c>
      <c r="R14" s="283">
        <f t="shared" si="4"/>
        <v>1126.5900000000001</v>
      </c>
    </row>
    <row r="15" spans="1:22" ht="21" x14ac:dyDescent="0.35">
      <c r="A15" s="125" t="str">
        <f>HYPERLINK(IF($L$1="เปิด", "#'รวมปกติ'!A13", "#C15"), IF($L$1="เปิด", "ไปรวมปกติ (A13)", ""))</f>
        <v/>
      </c>
      <c r="B15" s="126" t="str">
        <f>HYPERLINK(IF($L$1="เปิด", "#'รวมพิเศษ'!A13", "#D15"), IF($L$1="เปิด", "ไปรวมพิเศษ (A13)", ""))</f>
        <v/>
      </c>
      <c r="C15" s="7" t="s">
        <v>97</v>
      </c>
      <c r="D15" s="180">
        <f>HYPERLINK(IF($L$1="เปิด", "#'รวมปกติ'!" &amp; ADDRESS(ROW(รวมปกติ!C14), COLUMN(รวมปกติ!C14), 4), ""), รวมปกติ!C14)</f>
        <v>2.42</v>
      </c>
      <c r="E15" s="12">
        <f>HYPERLINK(IF($L$1="เปิด", "#'รวมปกติ'!" &amp; ADDRESS(ROW(รวมปกติ!D14), COLUMN(รวมปกติ!D14), 4), ""), รวมปกติ!D14)</f>
        <v>2.42</v>
      </c>
      <c r="F15" s="12">
        <f>HYPERLINK(IF($L$1="เปิด", "#'รวมปกติ'!" &amp; ADDRESS(ROW(รวมปกติ!E14), COLUMN(รวมปกติ!E14), 4), ""), รวมปกติ!E14)</f>
        <v>0</v>
      </c>
      <c r="G15" s="186">
        <f>HYPERLINK(IF($L$1="เปิด", "#'รวมปกติ'!" &amp; ADDRESS(ROW(รวมปกติ!F14), COLUMN(รวมปกติ!F14), 4), ""), รวมปกติ!F14)</f>
        <v>2.42</v>
      </c>
      <c r="H15" s="187"/>
      <c r="I15" s="12">
        <f>HYPERLINK(IF($L$1="เปิด", "#'รวมพิเศษ'!" &amp; ADDRESS(ROW(รวมพิเศษ!C14), COLUMN(รวมพิเศษ!C14), 4), ""), รวมพิเศษ!C14)</f>
        <v>0</v>
      </c>
      <c r="J15" s="12">
        <f>HYPERLINK(IF($L$1="เปิด", "#'รวมพิเศษ'!" &amp; ADDRESS(ROW(รวมพิเศษ!D14), COLUMN(รวมพิเศษ!D14), 4), ""), รวมพิเศษ!D14)</f>
        <v>0</v>
      </c>
      <c r="K15" s="12">
        <f>HYPERLINK(IF($L$1="เปิด", "#'รวมพิเศษ'!" &amp; ADDRESS(ROW(รวมพิเศษ!E14), COLUMN(รวมพิเศษ!E14), 4), ""), รวมพิเศษ!E14)</f>
        <v>0</v>
      </c>
      <c r="L15" s="186">
        <f>HYPERLINK(IF($L$1="เปิด", "#'รวมพิเศษ'!" &amp; ADDRESS(ROW(รวมพิเศษ!F14), COLUMN(รวมพิเศษ!F14), 4), ""), รวมพิเศษ!F14)</f>
        <v>0</v>
      </c>
      <c r="M15" s="187"/>
      <c r="N15" s="280">
        <f t="shared" si="0"/>
        <v>2.42</v>
      </c>
      <c r="O15" s="12">
        <f t="shared" si="1"/>
        <v>2.42</v>
      </c>
      <c r="P15" s="12">
        <f t="shared" si="2"/>
        <v>0</v>
      </c>
      <c r="Q15" s="186">
        <f t="shared" si="3"/>
        <v>2.42</v>
      </c>
      <c r="R15" s="282">
        <f t="shared" si="4"/>
        <v>0</v>
      </c>
    </row>
    <row r="16" spans="1:22" ht="21" x14ac:dyDescent="0.35">
      <c r="A16" s="9" t="s">
        <v>25</v>
      </c>
      <c r="B16" s="120"/>
      <c r="C16" s="8" t="s">
        <v>8</v>
      </c>
      <c r="D16" s="182">
        <f>HYPERLINK(IF($L$1="เปิด", "#'รวมปกติ'!" &amp; ADDRESS(ROW(รวมปกติ!C15), COLUMN(รวมปกติ!C15), 4), ""), รวมปกติ!C15)</f>
        <v>3435.44</v>
      </c>
      <c r="E16" s="13">
        <f>HYPERLINK(IF($L$1="เปิด", "#'รวมปกติ'!" &amp; ADDRESS(ROW(รวมปกติ!D15), COLUMN(รวมปกติ!D15), 4), ""), รวมปกติ!D15)</f>
        <v>2989.06</v>
      </c>
      <c r="F16" s="13">
        <f>HYPERLINK(IF($L$1="เปิด", "#'รวมปกติ'!" &amp; ADDRESS(ROW(รวมปกติ!E15), COLUMN(รวมปกติ!E15), 4), ""), รวมปกติ!E15)</f>
        <v>18.170000000000002</v>
      </c>
      <c r="G16" s="188">
        <f>HYPERLINK(IF($L$1="เปิด", "#'รวมปกติ'!" &amp; ADDRESS(ROW(รวมปกติ!F15), COLUMN(รวมปกติ!F15), 4), ""), รวมปกติ!F15)</f>
        <v>3221.33</v>
      </c>
      <c r="H16" s="189">
        <f>HYPERLINK(IF($L$1="เปิด", "#'รวมปกติ'!" &amp; ADDRESS(ROW(รวมปกติ!G15), COLUMN(รวมปกติ!G15), 4), ""), รวมปกติ!G15)</f>
        <v>3235.5140000000001</v>
      </c>
      <c r="I16" s="13">
        <f>HYPERLINK(IF($L$1="เปิด", "#'รวมพิเศษ'!" &amp; ADDRESS(ROW(รวมพิเศษ!C15), COLUMN(รวมพิเศษ!C15), 4), ""), รวมพิเศษ!C15)</f>
        <v>274.22000000000003</v>
      </c>
      <c r="J16" s="13">
        <f>HYPERLINK(IF($L$1="เปิด", "#'รวมพิเศษ'!" &amp; ADDRESS(ROW(รวมพิเศษ!D15), COLUMN(รวมพิเศษ!D15), 4), ""), รวมพิเศษ!D15)</f>
        <v>393.44</v>
      </c>
      <c r="K16" s="13">
        <f>HYPERLINK(IF($L$1="เปิด", "#'รวมพิเศษ'!" &amp; ADDRESS(ROW(รวมพิเศษ!E15), COLUMN(รวมพิเศษ!E15), 4), ""), รวมพิเศษ!E15)</f>
        <v>86.5</v>
      </c>
      <c r="L16" s="188">
        <f>HYPERLINK(IF($L$1="เปิด", "#'รวมพิเศษ'!" &amp; ADDRESS(ROW(รวมพิเศษ!F15), COLUMN(รวมพิเศษ!F15), 4), ""), รวมพิเศษ!F15)</f>
        <v>377.08</v>
      </c>
      <c r="M16" s="189">
        <f>HYPERLINK(IF($L$1="เปิด", "#'รวมพิเศษ'!" &amp; ADDRESS(ROW(รวมพิเศษ!G15), COLUMN(รวมพิเศษ!G15), 4), ""), รวมพิเศษ!G15)</f>
        <v>402.06399999999996</v>
      </c>
      <c r="N16" s="181">
        <f t="shared" si="0"/>
        <v>3709.66</v>
      </c>
      <c r="O16" s="11">
        <f t="shared" si="1"/>
        <v>3382.5</v>
      </c>
      <c r="P16" s="11">
        <f t="shared" si="2"/>
        <v>104.67</v>
      </c>
      <c r="Q16" s="184">
        <f t="shared" si="3"/>
        <v>3598.41</v>
      </c>
      <c r="R16" s="283">
        <f t="shared" si="4"/>
        <v>3637.578</v>
      </c>
    </row>
    <row r="17" spans="1:18" ht="21" x14ac:dyDescent="0.35">
      <c r="A17" s="125" t="str">
        <f>HYPERLINK(IF($L$1="เปิด", "#'รวมปกติ'!A15", "#C17"), IF($L$1="เปิด", "ไปรวมปกติ (A15)", ""))</f>
        <v/>
      </c>
      <c r="B17" s="126" t="str">
        <f>HYPERLINK(IF($L$1="เปิด", "#'รวมพิเศษ'!A15", "#D17"), IF($L$1="เปิด", "ไปรวมพิเศษ (A15)", ""))</f>
        <v/>
      </c>
      <c r="C17" s="7" t="s">
        <v>97</v>
      </c>
      <c r="D17" s="180">
        <f>HYPERLINK(IF($L$1="เปิด", "#'รวมปกติ'!" &amp; ADDRESS(ROW(รวมปกติ!C16), COLUMN(รวมปกติ!C16), 4), ""), รวมปกติ!C16)</f>
        <v>13.95</v>
      </c>
      <c r="E17" s="12">
        <f>HYPERLINK(IF($L$1="เปิด", "#'รวมปกติ'!" &amp; ADDRESS(ROW(รวมปกติ!D16), COLUMN(รวมปกติ!D16), 4), ""), รวมปกติ!D16)</f>
        <v>14.4</v>
      </c>
      <c r="F17" s="12">
        <f>HYPERLINK(IF($L$1="เปิด", "#'รวมปกติ'!" &amp; ADDRESS(ROW(รวมปกติ!E16), COLUMN(รวมปกติ!E16), 4), ""), รวมปกติ!E16)</f>
        <v>0</v>
      </c>
      <c r="G17" s="186">
        <f>HYPERLINK(IF($L$1="เปิด", "#'รวมปกติ'!" &amp; ADDRESS(ROW(รวมปกติ!F16), COLUMN(รวมปกติ!F16), 4), ""), รวมปกติ!F16)</f>
        <v>14.184000000000001</v>
      </c>
      <c r="H17" s="187"/>
      <c r="I17" s="12">
        <f>HYPERLINK(IF($L$1="เปิด", "#'รวมพิเศษ'!" &amp; ADDRESS(ROW(รวมพิเศษ!C16), COLUMN(รวมพิเศษ!C16), 4), ""), รวมพิเศษ!C16)</f>
        <v>21.6</v>
      </c>
      <c r="J17" s="12">
        <f>HYPERLINK(IF($L$1="เปิด", "#'รวมพิเศษ'!" &amp; ADDRESS(ROW(รวมพิเศษ!D16), COLUMN(รวมพิเศษ!D16), 4), ""), รวมพิเศษ!D16)</f>
        <v>28.35</v>
      </c>
      <c r="K17" s="12">
        <f>HYPERLINK(IF($L$1="เปิด", "#'รวมพิเศษ'!" &amp; ADDRESS(ROW(รวมพิเศษ!E16), COLUMN(รวมพิเศษ!E16), 4), ""), รวมพิเศษ!E16)</f>
        <v>0</v>
      </c>
      <c r="L17" s="186">
        <f>HYPERLINK(IF($L$1="เปิด", "#'รวมพิเศษ'!" &amp; ADDRESS(ROW(รวมพิเศษ!F16), COLUMN(รวมพิเศษ!F16), 4), ""), รวมพิเศษ!F16)</f>
        <v>24.984000000000002</v>
      </c>
      <c r="M17" s="187"/>
      <c r="N17" s="280">
        <f t="shared" si="0"/>
        <v>35.549999999999997</v>
      </c>
      <c r="O17" s="12">
        <f t="shared" si="1"/>
        <v>42.75</v>
      </c>
      <c r="P17" s="12">
        <f t="shared" si="2"/>
        <v>0</v>
      </c>
      <c r="Q17" s="186">
        <f t="shared" si="3"/>
        <v>39.168000000000006</v>
      </c>
      <c r="R17" s="282">
        <f t="shared" si="4"/>
        <v>0</v>
      </c>
    </row>
    <row r="18" spans="1:18" ht="21" x14ac:dyDescent="0.35">
      <c r="A18" s="9" t="s">
        <v>37</v>
      </c>
      <c r="B18" s="120"/>
      <c r="C18" s="8" t="s">
        <v>8</v>
      </c>
      <c r="D18" s="182">
        <f>HYPERLINK(IF($L$1="เปิด", "#'รวมปกติ'!" &amp; ADDRESS(ROW(รวมปกติ!C17), COLUMN(รวมปกติ!C17), 4), ""), รวมปกติ!C17)</f>
        <v>1096.8900000000001</v>
      </c>
      <c r="E18" s="13">
        <f>HYPERLINK(IF($L$1="เปิด", "#'รวมปกติ'!" &amp; ADDRESS(ROW(รวมปกติ!D17), COLUMN(รวมปกติ!D17), 4), ""), รวมปกติ!D17)</f>
        <v>944.33</v>
      </c>
      <c r="F18" s="13">
        <f>HYPERLINK(IF($L$1="เปิด", "#'รวมปกติ'!" &amp; ADDRESS(ROW(รวมปกติ!E17), COLUMN(รวมปกติ!E17), 4), ""), รวมปกติ!E17)</f>
        <v>0</v>
      </c>
      <c r="G18" s="188">
        <f>HYPERLINK(IF($L$1="เปิด", "#'รวมปกติ'!" &amp; ADDRESS(ROW(รวมปกติ!F17), COLUMN(รวมปกติ!F17), 4), ""), รวมปกติ!F17)</f>
        <v>1020.61</v>
      </c>
      <c r="H18" s="189">
        <f>HYPERLINK(IF($L$1="เปิด", "#'รวมปกติ'!" &amp; ADDRESS(ROW(รวมปกติ!G17), COLUMN(รวมปกติ!G17), 4), ""), รวมปกติ!G17)</f>
        <v>1058.5540000000001</v>
      </c>
      <c r="I18" s="13">
        <f>HYPERLINK(IF($L$1="เปิด", "#'รวมพิเศษ'!" &amp; ADDRESS(ROW(รวมพิเศษ!C17), COLUMN(รวมพิเศษ!C17), 4), ""), รวมพิเศษ!C17)</f>
        <v>690.28</v>
      </c>
      <c r="J18" s="13">
        <f>HYPERLINK(IF($L$1="เปิด", "#'รวมพิเศษ'!" &amp; ADDRESS(ROW(รวมพิเศษ!D17), COLUMN(รวมพิเศษ!D17), 4), ""), รวมพิเศษ!D17)</f>
        <v>613.22</v>
      </c>
      <c r="K18" s="13">
        <f>HYPERLINK(IF($L$1="เปิด", "#'รวมพิเศษ'!" &amp; ADDRESS(ROW(รวมพิเศษ!E17), COLUMN(รวมพิเศษ!E17), 4), ""), รวมพิเศษ!E17)</f>
        <v>201.17</v>
      </c>
      <c r="L18" s="188">
        <f>HYPERLINK(IF($L$1="เปิด", "#'รวมพิเศษ'!" &amp; ADDRESS(ROW(รวมพิเศษ!F17), COLUMN(รวมพิเศษ!F17), 4), ""), รวมพิเศษ!F17)</f>
        <v>752.33</v>
      </c>
      <c r="M18" s="189">
        <f>HYPERLINK(IF($L$1="เปิด", "#'รวมพิเศษ'!" &amp; ADDRESS(ROW(รวมพิเศษ!G17), COLUMN(รวมพิเศษ!G17), 4), ""), รวมพิเศษ!G17)</f>
        <v>948.69200000000001</v>
      </c>
      <c r="N18" s="181">
        <f t="shared" si="0"/>
        <v>1787.17</v>
      </c>
      <c r="O18" s="11">
        <f t="shared" si="1"/>
        <v>1557.5500000000002</v>
      </c>
      <c r="P18" s="11">
        <f t="shared" si="2"/>
        <v>201.17</v>
      </c>
      <c r="Q18" s="184">
        <f t="shared" si="3"/>
        <v>1772.94</v>
      </c>
      <c r="R18" s="283">
        <f t="shared" si="4"/>
        <v>2007.2460000000001</v>
      </c>
    </row>
    <row r="19" spans="1:18" ht="21" x14ac:dyDescent="0.35">
      <c r="A19" s="125" t="str">
        <f>HYPERLINK(IF($L$1="เปิด", "#'รวมปกติ'!A17", "#C19"), IF($L$1="เปิด", "ไปรวมปกติ (A17)", ""))</f>
        <v/>
      </c>
      <c r="B19" s="126" t="str">
        <f>HYPERLINK(IF($L$1="เปิด", "#'รวมพิเศษ'!A17", "#D19"), IF($L$1="เปิด", "ไปรวมพิเศษ (A17)", ""))</f>
        <v/>
      </c>
      <c r="C19" s="7" t="s">
        <v>97</v>
      </c>
      <c r="D19" s="180">
        <f>HYPERLINK(IF($L$1="เปิด", "#'รวมปกติ'!" &amp; ADDRESS(ROW(รวมปกติ!C18), COLUMN(รวมปกติ!C18), 4), ""), รวมปกติ!C18)</f>
        <v>38.106000000000002</v>
      </c>
      <c r="E19" s="12">
        <f>HYPERLINK(IF($L$1="เปิด", "#'รวมปกติ'!" &amp; ADDRESS(ROW(รวมปกติ!D18), COLUMN(รวมปกติ!D18), 4), ""), รวมปกติ!D18)</f>
        <v>37.800000000000004</v>
      </c>
      <c r="F19" s="12">
        <f>HYPERLINK(IF($L$1="เปิด", "#'รวมปกติ'!" &amp; ADDRESS(ROW(รวมปกติ!E18), COLUMN(รวมปกติ!E18), 4), ""), รวมปกติ!E18)</f>
        <v>0</v>
      </c>
      <c r="G19" s="186">
        <f>HYPERLINK(IF($L$1="เปิด", "#'รวมปกติ'!" &amp; ADDRESS(ROW(รวมปกติ!F18), COLUMN(รวมปกติ!F18), 4), ""), รวมปกติ!F18)</f>
        <v>37.943999999999996</v>
      </c>
      <c r="H19" s="187"/>
      <c r="I19" s="12">
        <f>HYPERLINK(IF($L$1="เปิด", "#'รวมพิเศษ'!" &amp; ADDRESS(ROW(รวมพิเศษ!C18), COLUMN(รวมพิเศษ!C18), 4), ""), รวมพิเศษ!C18)</f>
        <v>201.006</v>
      </c>
      <c r="J19" s="12">
        <f>HYPERLINK(IF($L$1="เปิด", "#'รวมพิเศษ'!" &amp; ADDRESS(ROW(รวมพิเศษ!D18), COLUMN(รวมพิเศษ!D18), 4), ""), รวมพิเศษ!D18)</f>
        <v>159.30000000000001</v>
      </c>
      <c r="K19" s="12">
        <f>HYPERLINK(IF($L$1="เปิด", "#'รวมพิเศษ'!" &amp; ADDRESS(ROW(รวมพิเศษ!E18), COLUMN(รวมพิเศษ!E18), 4), ""), รวมพิเศษ!E18)</f>
        <v>32.4</v>
      </c>
      <c r="L19" s="186">
        <f>HYPERLINK(IF($L$1="เปิด", "#'รวมพิเศษ'!" &amp; ADDRESS(ROW(รวมพิเศษ!F18), COLUMN(รวมพิเศษ!F18), 4), ""), รวมพิเศษ!F18)</f>
        <v>196.36199999999999</v>
      </c>
      <c r="M19" s="187"/>
      <c r="N19" s="280">
        <f t="shared" si="0"/>
        <v>239.11199999999999</v>
      </c>
      <c r="O19" s="12">
        <f t="shared" si="1"/>
        <v>197.10000000000002</v>
      </c>
      <c r="P19" s="12">
        <f t="shared" si="2"/>
        <v>32.4</v>
      </c>
      <c r="Q19" s="186">
        <f t="shared" si="3"/>
        <v>234.30599999999998</v>
      </c>
      <c r="R19" s="282">
        <f t="shared" si="4"/>
        <v>0</v>
      </c>
    </row>
    <row r="20" spans="1:18" ht="21" x14ac:dyDescent="0.35">
      <c r="A20" s="9" t="s">
        <v>41</v>
      </c>
      <c r="B20" s="120"/>
      <c r="C20" s="8" t="s">
        <v>8</v>
      </c>
      <c r="D20" s="182">
        <f>HYPERLINK(IF($L$1="เปิด", "#'รวมปกติ'!" &amp; ADDRESS(ROW(รวมปกติ!C19), COLUMN(รวมปกติ!C19), 4), ""), รวมปกติ!C19)</f>
        <v>1049.67</v>
      </c>
      <c r="E20" s="13">
        <f>HYPERLINK(IF($L$1="เปิด", "#'รวมปกติ'!" &amp; ADDRESS(ROW(รวมปกติ!D19), COLUMN(รวมปกติ!D19), 4), ""), รวมปกติ!D19)</f>
        <v>994.94</v>
      </c>
      <c r="F20" s="13">
        <f>HYPERLINK(IF($L$1="เปิด", "#'รวมปกติ'!" &amp; ADDRESS(ROW(รวมปกติ!E19), COLUMN(รวมปกติ!E19), 4), ""), รวมปกติ!E19)</f>
        <v>39.78</v>
      </c>
      <c r="G20" s="188">
        <f>HYPERLINK(IF($L$1="เปิด", "#'รวมปกติ'!" &amp; ADDRESS(ROW(รวมปกติ!F19), COLUMN(รวมปกติ!F19), 4), ""), รวมปกติ!F19)</f>
        <v>1042.19</v>
      </c>
      <c r="H20" s="189">
        <f>HYPERLINK(IF($L$1="เปิด", "#'รวมปกติ'!" &amp; ADDRESS(ROW(รวมปกติ!G19), COLUMN(รวมปกติ!G19), 4), ""), รวมปกติ!G19)</f>
        <v>1052.8500000000001</v>
      </c>
      <c r="I20" s="13">
        <f>HYPERLINK(IF($L$1="เปิด", "#'รวมพิเศษ'!" &amp; ADDRESS(ROW(รวมพิเศษ!C19), COLUMN(รวมพิเศษ!C19), 4), ""), รวมพิเศษ!C19)</f>
        <v>75.33</v>
      </c>
      <c r="J20" s="13">
        <f>HYPERLINK(IF($L$1="เปิด", "#'รวมพิเศษ'!" &amp; ADDRESS(ROW(รวมพิเศษ!D19), COLUMN(รวมพิเศษ!D19), 4), ""), รวมพิเศษ!D19)</f>
        <v>79.11</v>
      </c>
      <c r="K20" s="13">
        <f>HYPERLINK(IF($L$1="เปิด", "#'รวมพิเศษ'!" &amp; ADDRESS(ROW(รวมพิเศษ!E19), COLUMN(รวมพิเศษ!E19), 4), ""), รวมพิเศษ!E19)</f>
        <v>48.33</v>
      </c>
      <c r="L20" s="188">
        <f>HYPERLINK(IF($L$1="เปิด", "#'รวมพิเศษ'!" &amp; ADDRESS(ROW(รวมพิเศษ!F19), COLUMN(รวมพิเศษ!F19), 4), ""), รวมพิเศษ!F19)</f>
        <v>101.39</v>
      </c>
      <c r="M20" s="189">
        <f>HYPERLINK(IF($L$1="เปิด", "#'รวมพิเศษ'!" &amp; ADDRESS(ROW(รวมพิเศษ!G19), COLUMN(รวมพิเศษ!G19), 4), ""), รวมพิเศษ!G19)</f>
        <v>170.31</v>
      </c>
      <c r="N20" s="181">
        <f t="shared" si="0"/>
        <v>1125</v>
      </c>
      <c r="O20" s="11">
        <f t="shared" si="1"/>
        <v>1074.05</v>
      </c>
      <c r="P20" s="11">
        <f t="shared" si="2"/>
        <v>88.11</v>
      </c>
      <c r="Q20" s="184">
        <f t="shared" si="3"/>
        <v>1143.5800000000002</v>
      </c>
      <c r="R20" s="283">
        <f t="shared" si="4"/>
        <v>1223.1600000000001</v>
      </c>
    </row>
    <row r="21" spans="1:18" ht="21" x14ac:dyDescent="0.35">
      <c r="A21" s="125" t="str">
        <f>HYPERLINK(IF($L$1="เปิด", "#'รวมปกติ'!A19", "#C21"), IF($L$1="เปิด", "ไปรวมปกติ (A19)", ""))</f>
        <v/>
      </c>
      <c r="B21" s="126" t="str">
        <f>HYPERLINK(IF($L$1="เปิด", "#'รวมพิเศษ'!A19", "#D21"), IF($L$1="เปิด", "ไปรวมพิเศษ (A19)", ""))</f>
        <v/>
      </c>
      <c r="C21" s="7" t="s">
        <v>97</v>
      </c>
      <c r="D21" s="180">
        <f>HYPERLINK(IF($L$1="เปิด", "#'รวมปกติ'!" &amp; ADDRESS(ROW(รวมปกติ!C20), COLUMN(รวมปกติ!C20), 4), ""), รวมปกติ!C20)</f>
        <v>9.66</v>
      </c>
      <c r="E21" s="12">
        <f>HYPERLINK(IF($L$1="เปิด", "#'รวมปกติ'!" &amp; ADDRESS(ROW(รวมปกติ!D20), COLUMN(รวมปกติ!D20), 4), ""), รวมปกติ!D20)</f>
        <v>11.16</v>
      </c>
      <c r="F21" s="12">
        <f>HYPERLINK(IF($L$1="เปิด", "#'รวมปกติ'!" &amp; ADDRESS(ROW(รวมปกติ!E20), COLUMN(รวมปกติ!E20), 4), ""), รวมปกติ!E20)</f>
        <v>0.5</v>
      </c>
      <c r="G21" s="186">
        <f>HYPERLINK(IF($L$1="เปิด", "#'รวมปกติ'!" &amp; ADDRESS(ROW(รวมปกติ!F20), COLUMN(รวมปกติ!F20), 4), ""), รวมปกติ!F20)</f>
        <v>10.66</v>
      </c>
      <c r="H21" s="187"/>
      <c r="I21" s="12">
        <f>HYPERLINK(IF($L$1="เปิด", "#'รวมพิเศษ'!" &amp; ADDRESS(ROW(รวมพิเศษ!C20), COLUMN(รวมพิเศษ!C20), 4), ""), รวมพิเศษ!C20)</f>
        <v>62.34</v>
      </c>
      <c r="J21" s="12">
        <f>HYPERLINK(IF($L$1="เปิด", "#'รวมพิเศษ'!" &amp; ADDRESS(ROW(รวมพิเศษ!D20), COLUMN(รวมพิเศษ!D20), 4), ""), รวมพิเศษ!D20)</f>
        <v>60</v>
      </c>
      <c r="K21" s="12">
        <f>HYPERLINK(IF($L$1="เปิด", "#'รวมพิเศษ'!" &amp; ADDRESS(ROW(รวมพิเศษ!E20), COLUMN(รวมพิเศษ!E20), 4), ""), รวมพิเศษ!E20)</f>
        <v>15.5</v>
      </c>
      <c r="L21" s="186">
        <f>HYPERLINK(IF($L$1="เปิด", "#'รวมพิเศษ'!" &amp; ADDRESS(ROW(รวมพิเศษ!F20), COLUMN(รวมพิเศษ!F20), 4), ""), รวมพิเศษ!F20)</f>
        <v>68.92</v>
      </c>
      <c r="M21" s="187"/>
      <c r="N21" s="280">
        <f t="shared" si="0"/>
        <v>72</v>
      </c>
      <c r="O21" s="12">
        <f t="shared" si="1"/>
        <v>71.16</v>
      </c>
      <c r="P21" s="12">
        <f t="shared" si="2"/>
        <v>16</v>
      </c>
      <c r="Q21" s="186">
        <f t="shared" si="3"/>
        <v>79.58</v>
      </c>
      <c r="R21" s="282">
        <f t="shared" si="4"/>
        <v>0</v>
      </c>
    </row>
    <row r="22" spans="1:18" ht="21" x14ac:dyDescent="0.35">
      <c r="A22" s="9" t="s">
        <v>42</v>
      </c>
      <c r="B22" s="120"/>
      <c r="C22" s="8" t="s">
        <v>8</v>
      </c>
      <c r="D22" s="182">
        <f>HYPERLINK(IF($L$1="เปิด", "#'รวมปกติ'!" &amp; ADDRESS(ROW(รวมปกติ!C21), COLUMN(รวมปกติ!C21), 4), ""), รวมปกติ!C21)</f>
        <v>981.28</v>
      </c>
      <c r="E22" s="13">
        <f>HYPERLINK(IF($L$1="เปิด", "#'รวมปกติ'!" &amp; ADDRESS(ROW(รวมปกติ!D21), COLUMN(รวมปกติ!D21), 4), ""), รวมปกติ!D21)</f>
        <v>1039.17</v>
      </c>
      <c r="F22" s="13">
        <f>HYPERLINK(IF($L$1="เปิด", "#'รวมปกติ'!" &amp; ADDRESS(ROW(รวมปกติ!E21), COLUMN(รวมปกติ!E21), 4), ""), รวมปกติ!E21)</f>
        <v>13.33</v>
      </c>
      <c r="G22" s="188">
        <f>HYPERLINK(IF($L$1="เปิด", "#'รวมปกติ'!" &amp; ADDRESS(ROW(รวมปกติ!F21), COLUMN(รวมปกติ!F21), 4), ""), รวมปกติ!F21)</f>
        <v>1016.89</v>
      </c>
      <c r="H22" s="189">
        <f>HYPERLINK(IF($L$1="เปิด", "#'รวมปกติ'!" &amp; ADDRESS(ROW(รวมปกติ!G21), COLUMN(รวมปกติ!G21), 4), ""), รวมปกติ!G21)</f>
        <v>1052.8899999999999</v>
      </c>
      <c r="I22" s="13">
        <f>HYPERLINK(IF($L$1="เปิด", "#'รวมพิเศษ'!" &amp; ADDRESS(ROW(รวมพิเศษ!C21), COLUMN(รวมพิเศษ!C21), 4), ""), รวมพิเศษ!C21)</f>
        <v>7.5</v>
      </c>
      <c r="J22" s="13">
        <f>HYPERLINK(IF($L$1="เปิด", "#'รวมพิเศษ'!" &amp; ADDRESS(ROW(รวมพิเศษ!D21), COLUMN(รวมพิเศษ!D21), 4), ""), รวมพิเศษ!D21)</f>
        <v>67.11</v>
      </c>
      <c r="K22" s="13">
        <f>HYPERLINK(IF($L$1="เปิด", "#'รวมพิเศษ'!" &amp; ADDRESS(ROW(รวมพิเศษ!E21), COLUMN(รวมพิเศษ!E21), 4), ""), รวมพิเศษ!E21)</f>
        <v>0</v>
      </c>
      <c r="L22" s="188">
        <f>HYPERLINK(IF($L$1="เปิด", "#'รวมพิเศษ'!" &amp; ADDRESS(ROW(รวมพิเศษ!F21), COLUMN(รวมพิเศษ!F21), 4), ""), รวมพิเศษ!F21)</f>
        <v>37.31</v>
      </c>
      <c r="M22" s="189">
        <f>HYPERLINK(IF($L$1="เปิด", "#'รวมพิเศษ'!" &amp; ADDRESS(ROW(รวมพิเศษ!G21), COLUMN(รวมพิเศษ!G21), 4), ""), รวมพิเศษ!G21)</f>
        <v>37.31</v>
      </c>
      <c r="N22" s="181">
        <f t="shared" si="0"/>
        <v>988.78</v>
      </c>
      <c r="O22" s="11">
        <f t="shared" si="1"/>
        <v>1106.28</v>
      </c>
      <c r="P22" s="11">
        <f t="shared" si="2"/>
        <v>13.33</v>
      </c>
      <c r="Q22" s="184">
        <f t="shared" si="3"/>
        <v>1054.2</v>
      </c>
      <c r="R22" s="283">
        <f t="shared" si="4"/>
        <v>1090.1999999999998</v>
      </c>
    </row>
    <row r="23" spans="1:18" ht="21" x14ac:dyDescent="0.35">
      <c r="A23" s="125" t="str">
        <f>HYPERLINK(IF($L$1="เปิด", "#'รวมปกติ'!A21", "#C23"), IF($L$1="เปิด", "ไปรวมปกติ (A21)", ""))</f>
        <v/>
      </c>
      <c r="B23" s="126" t="str">
        <f>HYPERLINK(IF($L$1="เปิด", "#'รวมพิเศษ'!A21", "#D23"), IF($L$1="เปิด", "ไปรวมพิเศษ (A21)", ""))</f>
        <v/>
      </c>
      <c r="C23" s="7" t="s">
        <v>97</v>
      </c>
      <c r="D23" s="180">
        <f>HYPERLINK(IF($L$1="เปิด", "#'รวมปกติ'!" &amp; ADDRESS(ROW(รวมปกติ!C22), COLUMN(รวมปกติ!C22), 4), ""), รวมปกติ!C22)</f>
        <v>34.840000000000003</v>
      </c>
      <c r="E23" s="12">
        <f>HYPERLINK(IF($L$1="เปิด", "#'รวมปกติ'!" &amp; ADDRESS(ROW(รวมปกติ!D22), COLUMN(รวมปกติ!D22), 4), ""), รวมปกติ!D22)</f>
        <v>37.159999999999997</v>
      </c>
      <c r="F23" s="12">
        <f>HYPERLINK(IF($L$1="เปิด", "#'รวมปกติ'!" &amp; ADDRESS(ROW(รวมปกติ!E22), COLUMN(รวมปกติ!E22), 4), ""), รวมปกติ!E22)</f>
        <v>0</v>
      </c>
      <c r="G23" s="186">
        <f>HYPERLINK(IF($L$1="เปิด", "#'รวมปกติ'!" &amp; ADDRESS(ROW(รวมปกติ!F22), COLUMN(รวมปกติ!F22), 4), ""), รวมปกติ!F22)</f>
        <v>36</v>
      </c>
      <c r="H23" s="187"/>
      <c r="I23" s="12">
        <f>HYPERLINK(IF($L$1="เปิด", "#'รวมพิเศษ'!" &amp; ADDRESS(ROW(รวมพิเศษ!C22), COLUMN(รวมพิเศษ!C22), 4), ""), รวมพิเศษ!C22)</f>
        <v>0</v>
      </c>
      <c r="J23" s="12">
        <f>HYPERLINK(IF($L$1="เปิด", "#'รวมพิเศษ'!" &amp; ADDRESS(ROW(รวมพิเศษ!D22), COLUMN(รวมพิเศษ!D22), 4), ""), รวมพิเศษ!D22)</f>
        <v>0</v>
      </c>
      <c r="K23" s="12">
        <f>HYPERLINK(IF($L$1="เปิด", "#'รวมพิเศษ'!" &amp; ADDRESS(ROW(รวมพิเศษ!E22), COLUMN(รวมพิเศษ!E22), 4), ""), รวมพิเศษ!E22)</f>
        <v>0</v>
      </c>
      <c r="L23" s="186">
        <f>HYPERLINK(IF($L$1="เปิด", "#'รวมพิเศษ'!" &amp; ADDRESS(ROW(รวมพิเศษ!F22), COLUMN(รวมพิเศษ!F22), 4), ""), รวมพิเศษ!F22)</f>
        <v>0</v>
      </c>
      <c r="M23" s="187"/>
      <c r="N23" s="280">
        <f t="shared" si="0"/>
        <v>34.840000000000003</v>
      </c>
      <c r="O23" s="12">
        <f t="shared" si="1"/>
        <v>37.159999999999997</v>
      </c>
      <c r="P23" s="12">
        <f t="shared" si="2"/>
        <v>0</v>
      </c>
      <c r="Q23" s="186">
        <f t="shared" si="3"/>
        <v>36</v>
      </c>
      <c r="R23" s="282">
        <f t="shared" si="4"/>
        <v>0</v>
      </c>
    </row>
    <row r="24" spans="1:18" ht="21" x14ac:dyDescent="0.35">
      <c r="A24" s="9" t="s">
        <v>43</v>
      </c>
      <c r="B24" s="120"/>
      <c r="C24" s="8" t="s">
        <v>8</v>
      </c>
      <c r="D24" s="182">
        <f>HYPERLINK(IF($L$1="เปิด", "#'รวมปกติ'!" &amp; ADDRESS(ROW(รวมปกติ!C23), COLUMN(รวมปกติ!C23), 4), ""), รวมปกติ!C23)</f>
        <v>3361.61</v>
      </c>
      <c r="E24" s="13">
        <f>HYPERLINK(IF($L$1="เปิด", "#'รวมปกติ'!" &amp; ADDRESS(ROW(รวมปกติ!D23), COLUMN(รวมปกติ!D23), 4), ""), รวมปกติ!D23)</f>
        <v>2972.72</v>
      </c>
      <c r="F24" s="13">
        <f>HYPERLINK(IF($L$1="เปิด", "#'รวมปกติ'!" &amp; ADDRESS(ROW(รวมปกติ!E23), COLUMN(รวมปกติ!E23), 4), ""), รวมปกติ!E23)</f>
        <v>28.78</v>
      </c>
      <c r="G24" s="188">
        <f>HYPERLINK(IF($L$1="เปิด", "#'รวมปกติ'!" &amp; ADDRESS(ROW(รวมปกติ!F23), COLUMN(รวมปกติ!F23), 4), ""), รวมปกติ!F23)</f>
        <v>3181.56</v>
      </c>
      <c r="H24" s="189">
        <f>HYPERLINK(IF($L$1="เปิด", "#'รวมปกติ'!" &amp; ADDRESS(ROW(รวมปกติ!G23), COLUMN(รวมปกติ!G23), 4), ""), รวมปกติ!G23)</f>
        <v>3245.82</v>
      </c>
      <c r="I24" s="13">
        <f>HYPERLINK(IF($L$1="เปิด", "#'รวมพิเศษ'!" &amp; ADDRESS(ROW(รวมพิเศษ!C23), COLUMN(รวมพิเศษ!C23), 4), ""), รวมพิเศษ!C23)</f>
        <v>235.67</v>
      </c>
      <c r="J24" s="13">
        <f>HYPERLINK(IF($L$1="เปิด", "#'รวมพิเศษ'!" &amp; ADDRESS(ROW(รวมพิเศษ!D23), COLUMN(รวมพิเศษ!D23), 4), ""), รวมพิเศษ!D23)</f>
        <v>108.17</v>
      </c>
      <c r="K24" s="13">
        <f>HYPERLINK(IF($L$1="เปิด", "#'รวมพิเศษ'!" &amp; ADDRESS(ROW(รวมพิเศษ!E23), COLUMN(รวมพิเศษ!E23), 4), ""), รวมพิเศษ!E23)</f>
        <v>0</v>
      </c>
      <c r="L24" s="188">
        <f>HYPERLINK(IF($L$1="เปิด", "#'รวมพิเศษ'!" &amp; ADDRESS(ROW(รวมพิเศษ!F23), COLUMN(รวมพิเศษ!F23), 4), ""), รวมพิเศษ!F23)</f>
        <v>171.92</v>
      </c>
      <c r="M24" s="189">
        <f>HYPERLINK(IF($L$1="เปิด", "#'รวมพิเศษ'!" &amp; ADDRESS(ROW(รวมพิเศษ!G23), COLUMN(รวมพิเศษ!G23), 4), ""), รวมพิเศษ!G23)</f>
        <v>178.07999999999998</v>
      </c>
      <c r="N24" s="181">
        <f t="shared" si="0"/>
        <v>3597.28</v>
      </c>
      <c r="O24" s="11">
        <f t="shared" si="1"/>
        <v>3080.89</v>
      </c>
      <c r="P24" s="11">
        <f t="shared" si="2"/>
        <v>28.78</v>
      </c>
      <c r="Q24" s="184">
        <f t="shared" si="3"/>
        <v>3353.48</v>
      </c>
      <c r="R24" s="283">
        <f t="shared" si="4"/>
        <v>3423.9</v>
      </c>
    </row>
    <row r="25" spans="1:18" ht="21" x14ac:dyDescent="0.35">
      <c r="A25" s="125" t="str">
        <f>HYPERLINK(IF($L$1="เปิด", "#'รวมปกติ'!A23", "#C25"), IF($L$1="เปิด", "ไปรวมปกติ (A23)", ""))</f>
        <v/>
      </c>
      <c r="B25" s="126" t="str">
        <f>HYPERLINK(IF($L$1="เปิด", "#'รวมพิเศษ'!A23", "#D25"), IF($L$1="เปิด", "ไปรวมพิเศษ (A23)", ""))</f>
        <v/>
      </c>
      <c r="C25" s="7" t="s">
        <v>97</v>
      </c>
      <c r="D25" s="180">
        <f>HYPERLINK(IF($L$1="เปิด", "#'รวมปกติ'!" &amp; ADDRESS(ROW(รวมปกติ!C24), COLUMN(รวมปกติ!C24), 4), ""), รวมปกติ!C24)</f>
        <v>69.66</v>
      </c>
      <c r="E25" s="12">
        <f>HYPERLINK(IF($L$1="เปิด", "#'รวมปกติ'!" &amp; ADDRESS(ROW(รวมปกติ!D24), COLUMN(รวมปกติ!D24), 4), ""), รวมปกติ!D24)</f>
        <v>58.84</v>
      </c>
      <c r="F25" s="12">
        <f>HYPERLINK(IF($L$1="เปิด", "#'รวมปกติ'!" &amp; ADDRESS(ROW(รวมปกติ!E24), COLUMN(รวมปกติ!E24), 4), ""), รวมปกติ!E24)</f>
        <v>0</v>
      </c>
      <c r="G25" s="186">
        <f>HYPERLINK(IF($L$1="เปิด", "#'รวมปกติ'!" &amp; ADDRESS(ROW(รวมปกติ!F24), COLUMN(รวมปกติ!F24), 4), ""), รวมปกติ!F24)</f>
        <v>64.260000000000005</v>
      </c>
      <c r="H25" s="187"/>
      <c r="I25" s="12">
        <f>HYPERLINK(IF($L$1="เปิด", "#'รวมพิเศษ'!" &amp; ADDRESS(ROW(รวมพิเศษ!C24), COLUMN(รวมพิเศษ!C24), 4), ""), รวมพิเศษ!C24)</f>
        <v>0.84</v>
      </c>
      <c r="J25" s="12">
        <f>HYPERLINK(IF($L$1="เปิด", "#'รวมพิเศษ'!" &amp; ADDRESS(ROW(รวมพิเศษ!D24), COLUMN(รวมพิเศษ!D24), 4), ""), รวมพิเศษ!D24)</f>
        <v>1.5</v>
      </c>
      <c r="K25" s="12">
        <f>HYPERLINK(IF($L$1="เปิด", "#'รวมพิเศษ'!" &amp; ADDRESS(ROW(รวมพิเศษ!E24), COLUMN(รวมพิเศษ!E24), 4), ""), รวมพิเศษ!E24)</f>
        <v>10</v>
      </c>
      <c r="L25" s="186">
        <f>HYPERLINK(IF($L$1="เปิด", "#'รวมพิเศษ'!" &amp; ADDRESS(ROW(รวมพิเศษ!F24), COLUMN(รวมพิเศษ!F24), 4), ""), รวมพิเศษ!F24)</f>
        <v>6.16</v>
      </c>
      <c r="M25" s="187"/>
      <c r="N25" s="280">
        <f t="shared" si="0"/>
        <v>70.5</v>
      </c>
      <c r="O25" s="12">
        <f t="shared" si="1"/>
        <v>60.34</v>
      </c>
      <c r="P25" s="12">
        <f t="shared" si="2"/>
        <v>10</v>
      </c>
      <c r="Q25" s="186">
        <f t="shared" si="3"/>
        <v>70.42</v>
      </c>
      <c r="R25" s="282">
        <f t="shared" si="4"/>
        <v>0</v>
      </c>
    </row>
    <row r="26" spans="1:18" ht="21" x14ac:dyDescent="0.35">
      <c r="A26" s="9" t="s">
        <v>54</v>
      </c>
      <c r="B26" s="120"/>
      <c r="C26" s="8" t="s">
        <v>8</v>
      </c>
      <c r="D26" s="182">
        <f>HYPERLINK(IF($L$1="เปิด", "#'รวมปกติ'!" &amp; ADDRESS(ROW(รวมปกติ!C25), COLUMN(รวมปกติ!C25), 4), ""), รวมปกติ!C25)</f>
        <v>631.78</v>
      </c>
      <c r="E26" s="13">
        <f>HYPERLINK(IF($L$1="เปิด", "#'รวมปกติ'!" &amp; ADDRESS(ROW(รวมปกติ!D25), COLUMN(รวมปกติ!D25), 4), ""), รวมปกติ!D25)</f>
        <v>508.28</v>
      </c>
      <c r="F26" s="13">
        <f>HYPERLINK(IF($L$1="เปิด", "#'รวมปกติ'!" &amp; ADDRESS(ROW(รวมปกติ!E25), COLUMN(รวมปกติ!E25), 4), ""), รวมปกติ!E25)</f>
        <v>0</v>
      </c>
      <c r="G26" s="188">
        <f>HYPERLINK(IF($L$1="เปิด", "#'รวมปกติ'!" &amp; ADDRESS(ROW(รวมปกติ!F25), COLUMN(รวมปกติ!F25), 4), ""), รวมปกติ!F25)</f>
        <v>570.03</v>
      </c>
      <c r="H26" s="189">
        <f>HYPERLINK(IF($L$1="เปิด", "#'รวมปกติ'!" &amp; ADDRESS(ROW(รวมปกติ!G25), COLUMN(รวมปกติ!G25), 4), ""), รวมปกติ!G25)</f>
        <v>586.74</v>
      </c>
      <c r="I26" s="13">
        <f>HYPERLINK(IF($L$1="เปิด", "#'รวมพิเศษ'!" &amp; ADDRESS(ROW(รวมพิเศษ!C25), COLUMN(รวมพิเศษ!C25), 4), ""), รวมพิเศษ!C25)</f>
        <v>30.06</v>
      </c>
      <c r="J26" s="13">
        <f>HYPERLINK(IF($L$1="เปิด", "#'รวมพิเศษ'!" &amp; ADDRESS(ROW(รวมพิเศษ!D25), COLUMN(รวมพิเศษ!D25), 4), ""), รวมพิเศษ!D25)</f>
        <v>9.7200000000000006</v>
      </c>
      <c r="K26" s="13">
        <f>HYPERLINK(IF($L$1="เปิด", "#'รวมพิเศษ'!" &amp; ADDRESS(ROW(รวมพิเศษ!E25), COLUMN(รวมพิเศษ!E25), 4), ""), รวมพิเศษ!E25)</f>
        <v>0</v>
      </c>
      <c r="L26" s="188">
        <f>HYPERLINK(IF($L$1="เปิด", "#'รวมพิเศษ'!" &amp; ADDRESS(ROW(รวมพิเศษ!F25), COLUMN(รวมพิเศษ!F25), 4), ""), รวมพิเศษ!F25)</f>
        <v>19.89</v>
      </c>
      <c r="M26" s="189">
        <f>HYPERLINK(IF($L$1="เปิด", "#'รวมพิเศษ'!" &amp; ADDRESS(ROW(รวมพิเศษ!G25), COLUMN(รวมพิเศษ!G25), 4), ""), รวมพิเศษ!G25)</f>
        <v>19.89</v>
      </c>
      <c r="N26" s="181">
        <f t="shared" si="0"/>
        <v>661.83999999999992</v>
      </c>
      <c r="O26" s="11">
        <f t="shared" si="1"/>
        <v>518</v>
      </c>
      <c r="P26" s="11">
        <f t="shared" si="2"/>
        <v>0</v>
      </c>
      <c r="Q26" s="184">
        <f t="shared" si="3"/>
        <v>589.91999999999996</v>
      </c>
      <c r="R26" s="283">
        <f t="shared" si="4"/>
        <v>606.63</v>
      </c>
    </row>
    <row r="27" spans="1:18" ht="21" x14ac:dyDescent="0.35">
      <c r="A27" s="125" t="str">
        <f>HYPERLINK(IF($L$1="เปิด", "#'รวมปกติ'!A25", "#C27"), IF($L$1="เปิด", "ไปรวมปกติ (A25)", ""))</f>
        <v/>
      </c>
      <c r="B27" s="126" t="str">
        <f>HYPERLINK(IF($L$1="เปิด", "#'รวมพิเศษ'!A25", "#D27"), IF($L$1="เปิด", "ไปรวมพิเศษ (A25)", ""))</f>
        <v/>
      </c>
      <c r="C27" s="7" t="s">
        <v>97</v>
      </c>
      <c r="D27" s="180">
        <f>HYPERLINK(IF($L$1="เปิด", "#'รวมปกติ'!" &amp; ADDRESS(ROW(รวมปกติ!C26), COLUMN(รวมปกติ!C26), 4), ""), รวมปกติ!C26)</f>
        <v>17.420000000000002</v>
      </c>
      <c r="E27" s="12">
        <f>HYPERLINK(IF($L$1="เปิด", "#'รวมปกติ'!" &amp; ADDRESS(ROW(รวมปกติ!D26), COLUMN(รวมปกติ!D26), 4), ""), รวมปกติ!D26)</f>
        <v>16</v>
      </c>
      <c r="F27" s="12">
        <f>HYPERLINK(IF($L$1="เปิด", "#'รวมปกติ'!" &amp; ADDRESS(ROW(รวมปกติ!E26), COLUMN(รวมปกติ!E26), 4), ""), รวมปกติ!E26)</f>
        <v>0</v>
      </c>
      <c r="G27" s="186">
        <f>HYPERLINK(IF($L$1="เปิด", "#'รวมปกติ'!" &amp; ADDRESS(ROW(รวมปกติ!F26), COLUMN(รวมปกติ!F26), 4), ""), รวมปกติ!F26)</f>
        <v>16.71</v>
      </c>
      <c r="H27" s="187"/>
      <c r="I27" s="12">
        <f>HYPERLINK(IF($L$1="เปิด", "#'รวมพิเศษ'!" &amp; ADDRESS(ROW(รวมพิเศษ!C26), COLUMN(รวมพิเศษ!C26), 4), ""), รวมพิเศษ!C26)</f>
        <v>0</v>
      </c>
      <c r="J27" s="12">
        <f>HYPERLINK(IF($L$1="เปิด", "#'รวมพิเศษ'!" &amp; ADDRESS(ROW(รวมพิเศษ!D26), COLUMN(รวมพิเศษ!D26), 4), ""), รวมพิเศษ!D26)</f>
        <v>0</v>
      </c>
      <c r="K27" s="12">
        <f>HYPERLINK(IF($L$1="เปิด", "#'รวมพิเศษ'!" &amp; ADDRESS(ROW(รวมพิเศษ!E26), COLUMN(รวมพิเศษ!E26), 4), ""), รวมพิเศษ!E26)</f>
        <v>0</v>
      </c>
      <c r="L27" s="186">
        <f>HYPERLINK(IF($L$1="เปิด", "#'รวมพิเศษ'!" &amp; ADDRESS(ROW(รวมพิเศษ!F26), COLUMN(รวมพิเศษ!F26), 4), ""), รวมพิเศษ!F26)</f>
        <v>0</v>
      </c>
      <c r="M27" s="187"/>
      <c r="N27" s="280">
        <f t="shared" si="0"/>
        <v>17.420000000000002</v>
      </c>
      <c r="O27" s="12">
        <f t="shared" si="1"/>
        <v>16</v>
      </c>
      <c r="P27" s="12">
        <f t="shared" si="2"/>
        <v>0</v>
      </c>
      <c r="Q27" s="186">
        <f t="shared" si="3"/>
        <v>16.71</v>
      </c>
      <c r="R27" s="282">
        <f t="shared" si="4"/>
        <v>0</v>
      </c>
    </row>
    <row r="28" spans="1:18" ht="21" x14ac:dyDescent="0.35">
      <c r="A28" s="9" t="s">
        <v>55</v>
      </c>
      <c r="B28" s="120"/>
      <c r="C28" s="8" t="s">
        <v>8</v>
      </c>
      <c r="D28" s="182">
        <f>HYPERLINK(IF($L$1="เปิด", "#'รวมปกติ'!" &amp; ADDRESS(ROW(รวมปกติ!C27), COLUMN(รวมปกติ!C27), 4), ""), รวมปกติ!C27)</f>
        <v>1619.33</v>
      </c>
      <c r="E28" s="13">
        <f>HYPERLINK(IF($L$1="เปิด", "#'รวมปกติ'!" &amp; ADDRESS(ROW(รวมปกติ!D27), COLUMN(รวมปกติ!D27), 4), ""), รวมปกติ!D27)</f>
        <v>1706.06</v>
      </c>
      <c r="F28" s="13">
        <f>HYPERLINK(IF($L$1="เปิด", "#'รวมปกติ'!" &amp; ADDRESS(ROW(รวมปกติ!E27), COLUMN(รวมปกติ!E27), 4), ""), รวมปกติ!E27)</f>
        <v>71.89</v>
      </c>
      <c r="G28" s="188">
        <f>HYPERLINK(IF($L$1="เปิด", "#'รวมปกติ'!" &amp; ADDRESS(ROW(รวมปกติ!F27), COLUMN(รวมปกติ!F27), 4), ""), รวมปกติ!F27)</f>
        <v>1698.64</v>
      </c>
      <c r="H28" s="189">
        <f>HYPERLINK(IF($L$1="เปิด", "#'รวมปกติ'!" &amp; ADDRESS(ROW(รวมปกติ!G27), COLUMN(รวมปกติ!G27), 4), ""), รวมปกติ!G27)</f>
        <v>1748.48</v>
      </c>
      <c r="I28" s="13">
        <f>HYPERLINK(IF($L$1="เปิด", "#'รวมพิเศษ'!" &amp; ADDRESS(ROW(รวมพิเศษ!C27), COLUMN(รวมพิเศษ!C27), 4), ""), รวมพิเศษ!C27)</f>
        <v>16.78</v>
      </c>
      <c r="J28" s="13">
        <f>HYPERLINK(IF($L$1="เปิด", "#'รวมพิเศษ'!" &amp; ADDRESS(ROW(รวมพิเศษ!D27), COLUMN(รวมพิเศษ!D27), 4), ""), รวมพิเศษ!D27)</f>
        <v>28.61</v>
      </c>
      <c r="K28" s="13">
        <f>HYPERLINK(IF($L$1="เปิด", "#'รวมพิเศษ'!" &amp; ADDRESS(ROW(รวมพิเศษ!E27), COLUMN(รวมพิเศษ!E27), 4), ""), รวมพิเศษ!E27)</f>
        <v>0</v>
      </c>
      <c r="L28" s="188">
        <f>HYPERLINK(IF($L$1="เปิด", "#'รวมพิเศษ'!" &amp; ADDRESS(ROW(รวมพิเศษ!F27), COLUMN(รวมพิเศษ!F27), 4), ""), รวมพิเศษ!F27)</f>
        <v>22.69</v>
      </c>
      <c r="M28" s="189">
        <f>HYPERLINK(IF($L$1="เปิด", "#'รวมพิเศษ'!" &amp; ADDRESS(ROW(รวมพิเศษ!G27), COLUMN(รวมพิเศษ!G27), 4), ""), รวมพิเศษ!G27)</f>
        <v>40.69</v>
      </c>
      <c r="N28" s="181">
        <f t="shared" si="0"/>
        <v>1636.11</v>
      </c>
      <c r="O28" s="11">
        <f t="shared" si="1"/>
        <v>1734.6699999999998</v>
      </c>
      <c r="P28" s="11">
        <f t="shared" si="2"/>
        <v>71.89</v>
      </c>
      <c r="Q28" s="184">
        <f t="shared" si="3"/>
        <v>1721.3300000000002</v>
      </c>
      <c r="R28" s="283">
        <f t="shared" si="4"/>
        <v>1789.17</v>
      </c>
    </row>
    <row r="29" spans="1:18" ht="21" x14ac:dyDescent="0.35">
      <c r="A29" s="125" t="str">
        <f>HYPERLINK(IF($L$1="เปิด", "#'รวมปกติ'!A27", "#C29"), IF($L$1="เปิด", "ไปรวมปกติ (A27)", ""))</f>
        <v/>
      </c>
      <c r="B29" s="126" t="str">
        <f>HYPERLINK(IF($L$1="เปิด", "#'รวมพิเศษ'!A27", "#D29"), IF($L$1="เปิด", "ไปรวมพิเศษ (A27)", ""))</f>
        <v/>
      </c>
      <c r="C29" s="7" t="s">
        <v>97</v>
      </c>
      <c r="D29" s="180">
        <f>HYPERLINK(IF($L$1="เปิด", "#'รวมปกติ'!" &amp; ADDRESS(ROW(รวมปกติ!C28), COLUMN(รวมปกติ!C28), 4), ""), รวมปกติ!C28)</f>
        <v>51.5</v>
      </c>
      <c r="E29" s="12">
        <f>HYPERLINK(IF($L$1="เปิด", "#'รวมปกติ'!" &amp; ADDRESS(ROW(รวมปกติ!D28), COLUMN(รวมปกติ!D28), 4), ""), รวมปกติ!D28)</f>
        <v>48.16</v>
      </c>
      <c r="F29" s="12">
        <f>HYPERLINK(IF($L$1="เปิด", "#'รวมปกติ'!" &amp; ADDRESS(ROW(รวมปกติ!E28), COLUMN(รวมปกติ!E28), 4), ""), รวมปกติ!E28)</f>
        <v>0</v>
      </c>
      <c r="G29" s="186">
        <f>HYPERLINK(IF($L$1="เปิด", "#'รวมปกติ'!" &amp; ADDRESS(ROW(รวมปกติ!F28), COLUMN(รวมปกติ!F28), 4), ""), รวมปกติ!F28)</f>
        <v>49.84</v>
      </c>
      <c r="H29" s="187"/>
      <c r="I29" s="12">
        <f>HYPERLINK(IF($L$1="เปิด", "#'รวมพิเศษ'!" &amp; ADDRESS(ROW(รวมพิเศษ!C28), COLUMN(รวมพิเศษ!C28), 4), ""), รวมพิเศษ!C28)</f>
        <v>20.5</v>
      </c>
      <c r="J29" s="12">
        <f>HYPERLINK(IF($L$1="เปิด", "#'รวมพิเศษ'!" &amp; ADDRESS(ROW(รวมพิเศษ!D28), COLUMN(รวมพิเศษ!D28), 4), ""), รวมพิเศษ!D28)</f>
        <v>15.5</v>
      </c>
      <c r="K29" s="12">
        <f>HYPERLINK(IF($L$1="เปิด", "#'รวมพิเศษ'!" &amp; ADDRESS(ROW(รวมพิเศษ!E28), COLUMN(รวมพิเศษ!E28), 4), ""), รวมพิเศษ!E28)</f>
        <v>0</v>
      </c>
      <c r="L29" s="186">
        <f>HYPERLINK(IF($L$1="เปิด", "#'รวมพิเศษ'!" &amp; ADDRESS(ROW(รวมพิเศษ!F28), COLUMN(รวมพิเศษ!F28), 4), ""), รวมพิเศษ!F28)</f>
        <v>18</v>
      </c>
      <c r="M29" s="187"/>
      <c r="N29" s="280">
        <f t="shared" si="0"/>
        <v>72</v>
      </c>
      <c r="O29" s="12">
        <f t="shared" si="1"/>
        <v>63.66</v>
      </c>
      <c r="P29" s="12">
        <f t="shared" si="2"/>
        <v>0</v>
      </c>
      <c r="Q29" s="186">
        <f t="shared" si="3"/>
        <v>67.84</v>
      </c>
      <c r="R29" s="282">
        <f t="shared" si="4"/>
        <v>0</v>
      </c>
    </row>
    <row r="30" spans="1:18" ht="21" x14ac:dyDescent="0.35">
      <c r="A30" s="9" t="s">
        <v>62</v>
      </c>
      <c r="B30" s="120"/>
      <c r="C30" s="8" t="s">
        <v>8</v>
      </c>
      <c r="D30" s="182">
        <f>HYPERLINK(IF($L$1="เปิด", "#'รวมปกติ'!" &amp; ADDRESS(ROW(รวมปกติ!C29), COLUMN(รวมปกติ!C29), 4), ""), รวมปกติ!C29)</f>
        <v>451.67</v>
      </c>
      <c r="E30" s="13">
        <f>HYPERLINK(IF($L$1="เปิด", "#'รวมปกติ'!" &amp; ADDRESS(ROW(รวมปกติ!D29), COLUMN(รวมปกติ!D29), 4), ""), รวมปกติ!D29)</f>
        <v>451.39</v>
      </c>
      <c r="F30" s="13">
        <f>HYPERLINK(IF($L$1="เปิด", "#'รวมปกติ'!" &amp; ADDRESS(ROW(รวมปกติ!E29), COLUMN(รวมปกติ!E29), 4), ""), รวมปกติ!E29)</f>
        <v>0</v>
      </c>
      <c r="G30" s="188">
        <f>HYPERLINK(IF($L$1="เปิด", "#'รวมปกติ'!" &amp; ADDRESS(ROW(รวมปกติ!F29), COLUMN(รวมปกติ!F29), 4), ""), รวมปกติ!F29)</f>
        <v>451.53</v>
      </c>
      <c r="H30" s="189">
        <f>HYPERLINK(IF($L$1="เปิด", "#'รวมปกติ'!" &amp; ADDRESS(ROW(รวมปกติ!G29), COLUMN(รวมปกติ!G29), 4), ""), รวมปกติ!G29)</f>
        <v>570.11400000000003</v>
      </c>
      <c r="I30" s="13">
        <f>HYPERLINK(IF($L$1="เปิด", "#'รวมพิเศษ'!" &amp; ADDRESS(ROW(รวมพิเศษ!C29), COLUMN(รวมพิเศษ!C29), 4), ""), รวมพิเศษ!C29)</f>
        <v>63.44</v>
      </c>
      <c r="J30" s="13">
        <f>HYPERLINK(IF($L$1="เปิด", "#'รวมพิเศษ'!" &amp; ADDRESS(ROW(รวมพิเศษ!D29), COLUMN(รวมพิเศษ!D29), 4), ""), รวมพิเศษ!D29)</f>
        <v>66.94</v>
      </c>
      <c r="K30" s="13">
        <f>HYPERLINK(IF($L$1="เปิด", "#'รวมพิเศษ'!" &amp; ADDRESS(ROW(รวมพิเศษ!E29), COLUMN(รวมพิเศษ!E29), 4), ""), รวมพิเศษ!E29)</f>
        <v>28.67</v>
      </c>
      <c r="L30" s="188">
        <f>HYPERLINK(IF($L$1="เปิด", "#'รวมพิเศษ'!" &amp; ADDRESS(ROW(รวมพิเศษ!F29), COLUMN(รวมพิเศษ!F29), 4), ""), รวมพิเศษ!F29)</f>
        <v>79.53</v>
      </c>
      <c r="M30" s="189">
        <f>HYPERLINK(IF($L$1="เปิด", "#'รวมพิเศษ'!" &amp; ADDRESS(ROW(รวมพิเศษ!G29), COLUMN(รวมพิเศษ!G29), 4), ""), รวมพิเศษ!G29)</f>
        <v>79.53</v>
      </c>
      <c r="N30" s="181">
        <f t="shared" si="0"/>
        <v>515.11</v>
      </c>
      <c r="O30" s="11">
        <f t="shared" si="1"/>
        <v>518.32999999999993</v>
      </c>
      <c r="P30" s="11">
        <f t="shared" si="2"/>
        <v>28.67</v>
      </c>
      <c r="Q30" s="184">
        <f t="shared" si="3"/>
        <v>531.05999999999995</v>
      </c>
      <c r="R30" s="283">
        <f t="shared" si="4"/>
        <v>649.64400000000001</v>
      </c>
    </row>
    <row r="31" spans="1:18" ht="21" x14ac:dyDescent="0.35">
      <c r="A31" s="125" t="str">
        <f>HYPERLINK(IF($L$1="เปิด", "#'รวมปกติ'!A29", "#C31"), IF($L$1="เปิด", "ไปรวมปกติ (A29)", ""))</f>
        <v/>
      </c>
      <c r="B31" s="126" t="str">
        <f>HYPERLINK(IF($L$1="เปิด", "#'รวมพิเศษ'!A29", "#D31"), IF($L$1="เปิด", "ไปรวมพิเศษ (A29)", ""))</f>
        <v/>
      </c>
      <c r="C31" s="7" t="s">
        <v>97</v>
      </c>
      <c r="D31" s="180">
        <f>HYPERLINK(IF($L$1="เปิด", "#'รวมปกติ'!" &amp; ADDRESS(ROW(รวมปกติ!C30), COLUMN(รวมปกติ!C30), 4), ""), รวมปกติ!C30)</f>
        <v>117.45</v>
      </c>
      <c r="E31" s="12">
        <f>HYPERLINK(IF($L$1="เปิด", "#'รวมปกติ'!" &amp; ADDRESS(ROW(รวมปกติ!D30), COLUMN(รวมปกติ!D30), 4), ""), รวมปกติ!D30)</f>
        <v>119.7</v>
      </c>
      <c r="F31" s="12">
        <f>HYPERLINK(IF($L$1="เปิด", "#'รวมปกติ'!" &amp; ADDRESS(ROW(รวมปกติ!E30), COLUMN(รวมปกติ!E30), 4), ""), รวมปกติ!E30)</f>
        <v>0</v>
      </c>
      <c r="G31" s="186">
        <f>HYPERLINK(IF($L$1="เปิด", "#'รวมปกติ'!" &amp; ADDRESS(ROW(รวมปกติ!F30), COLUMN(รวมปกติ!F30), 4), ""), รวมปกติ!F30)</f>
        <v>118.584</v>
      </c>
      <c r="H31" s="187"/>
      <c r="I31" s="12">
        <f>HYPERLINK(IF($L$1="เปิด", "#'รวมพิเศษ'!" &amp; ADDRESS(ROW(รวมพิเศษ!C30), COLUMN(รวมพิเศษ!C30), 4), ""), รวมพิเศษ!C30)</f>
        <v>0</v>
      </c>
      <c r="J31" s="12">
        <f>HYPERLINK(IF($L$1="เปิด", "#'รวมพิเศษ'!" &amp; ADDRESS(ROW(รวมพิเศษ!D30), COLUMN(รวมพิเศษ!D30), 4), ""), รวมพิเศษ!D30)</f>
        <v>0</v>
      </c>
      <c r="K31" s="12">
        <f>HYPERLINK(IF($L$1="เปิด", "#'รวมพิเศษ'!" &amp; ADDRESS(ROW(รวมพิเศษ!E30), COLUMN(รวมพิเศษ!E30), 4), ""), รวมพิเศษ!E30)</f>
        <v>0</v>
      </c>
      <c r="L31" s="186">
        <f>HYPERLINK(IF($L$1="เปิด", "#'รวมพิเศษ'!" &amp; ADDRESS(ROW(รวมพิเศษ!F30), COLUMN(รวมพิเศษ!F30), 4), ""), รวมพิเศษ!F30)</f>
        <v>0</v>
      </c>
      <c r="M31" s="187"/>
      <c r="N31" s="280">
        <f t="shared" si="0"/>
        <v>117.45</v>
      </c>
      <c r="O31" s="12">
        <f t="shared" si="1"/>
        <v>119.7</v>
      </c>
      <c r="P31" s="12">
        <f t="shared" si="2"/>
        <v>0</v>
      </c>
      <c r="Q31" s="186">
        <f t="shared" si="3"/>
        <v>118.584</v>
      </c>
      <c r="R31" s="282">
        <f t="shared" si="4"/>
        <v>0</v>
      </c>
    </row>
    <row r="32" spans="1:18" ht="21" x14ac:dyDescent="0.35">
      <c r="A32" s="9" t="s">
        <v>63</v>
      </c>
      <c r="B32" s="120"/>
      <c r="C32" s="8" t="s">
        <v>8</v>
      </c>
      <c r="D32" s="182">
        <f>HYPERLINK(IF($L$1="เปิด", "#'รวมปกติ'!" &amp; ADDRESS(ROW(รวมปกติ!C31), COLUMN(รวมปกติ!C31), 4), ""), รวมปกติ!C31)</f>
        <v>1578.28</v>
      </c>
      <c r="E32" s="13">
        <f>HYPERLINK(IF($L$1="เปิด", "#'รวมปกติ'!" &amp; ADDRESS(ROW(รวมปกติ!D31), COLUMN(รวมปกติ!D31), 4), ""), รวมปกติ!D31)</f>
        <v>1663.17</v>
      </c>
      <c r="F32" s="13">
        <f>HYPERLINK(IF($L$1="เปิด", "#'รวมปกติ'!" &amp; ADDRESS(ROW(รวมปกติ!E31), COLUMN(รวมปกติ!E31), 4), ""), รวมปกติ!E31)</f>
        <v>1.89</v>
      </c>
      <c r="G32" s="188">
        <f>HYPERLINK(IF($L$1="เปิด", "#'รวมปกติ'!" &amp; ADDRESS(ROW(รวมปกติ!F31), COLUMN(รวมปกติ!F31), 4), ""), รวมปกติ!F31)</f>
        <v>1621.67</v>
      </c>
      <c r="H32" s="189">
        <f>HYPERLINK(IF($L$1="เปิด", "#'รวมปกติ'!" &amp; ADDRESS(ROW(รวมปกติ!G31), COLUMN(รวมปกติ!G31), 4), ""), รวมปกติ!G31)</f>
        <v>1782.17</v>
      </c>
      <c r="I32" s="13">
        <f>HYPERLINK(IF($L$1="เปิด", "#'รวมพิเศษ'!" &amp; ADDRESS(ROW(รวมพิเศษ!C31), COLUMN(รวมพิเศษ!C31), 4), ""), รวมพิเศษ!C31)</f>
        <v>327.39</v>
      </c>
      <c r="J32" s="13">
        <f>HYPERLINK(IF($L$1="เปิด", "#'รวมพิเศษ'!" &amp; ADDRESS(ROW(รวมพิเศษ!D31), COLUMN(รวมพิเศษ!D31), 4), ""), รวมพิเศษ!D31)</f>
        <v>185.17</v>
      </c>
      <c r="K32" s="13">
        <f>HYPERLINK(IF($L$1="เปิด", "#'รวมพิเศษ'!" &amp; ADDRESS(ROW(รวมพิเศษ!E31), COLUMN(รวมพิเศษ!E31), 4), ""), รวมพิเศษ!E31)</f>
        <v>67.39</v>
      </c>
      <c r="L32" s="188">
        <f>HYPERLINK(IF($L$1="เปิด", "#'รวมพิเศษ'!" &amp; ADDRESS(ROW(รวมพิเศษ!F31), COLUMN(รวมพิเศษ!F31), 4), ""), รวมพิเศษ!F31)</f>
        <v>289.97000000000003</v>
      </c>
      <c r="M32" s="189">
        <f>HYPERLINK(IF($L$1="เปิด", "#'รวมพิเศษ'!" &amp; ADDRESS(ROW(รวมพิเศษ!G31), COLUMN(รวมพิเศษ!G31), 4), ""), รวมพิเศษ!G31)</f>
        <v>841.1</v>
      </c>
      <c r="N32" s="181">
        <f t="shared" si="0"/>
        <v>1905.67</v>
      </c>
      <c r="O32" s="11">
        <f t="shared" si="1"/>
        <v>1848.3400000000001</v>
      </c>
      <c r="P32" s="11">
        <f t="shared" si="2"/>
        <v>69.28</v>
      </c>
      <c r="Q32" s="184">
        <f t="shared" si="3"/>
        <v>1911.64</v>
      </c>
      <c r="R32" s="283">
        <f t="shared" si="4"/>
        <v>2623.27</v>
      </c>
    </row>
    <row r="33" spans="1:18" ht="21" x14ac:dyDescent="0.35">
      <c r="A33" s="125" t="str">
        <f>HYPERLINK(IF($L$1="เปิด", "#'รวมปกติ'!A31", "#C33"), IF($L$1="เปิด", "ไปรวมปกติ (A31)", ""))</f>
        <v/>
      </c>
      <c r="B33" s="126" t="str">
        <f>HYPERLINK(IF($L$1="เปิด", "#'รวมพิเศษ'!A31", "#D33"), IF($L$1="เปิด", "ไปรวมพิเศษ (A31)", ""))</f>
        <v/>
      </c>
      <c r="C33" s="7" t="s">
        <v>97</v>
      </c>
      <c r="D33" s="180">
        <f>HYPERLINK(IF($L$1="เปิด", "#'รวมปกติ'!" &amp; ADDRESS(ROW(รวมปกติ!C32), COLUMN(รวมปกติ!C32), 4), ""), รวมปกติ!C32)</f>
        <v>159.375</v>
      </c>
      <c r="E33" s="12">
        <f>HYPERLINK(IF($L$1="เปิด", "#'รวมปกติ'!" &amp; ADDRESS(ROW(รวมปกติ!D32), COLUMN(รวมปกติ!D32), 4), ""), รวมปกติ!D32)</f>
        <v>144.375</v>
      </c>
      <c r="F33" s="12">
        <f>HYPERLINK(IF($L$1="เปิด", "#'รวมปกติ'!" &amp; ADDRESS(ROW(รวมปกติ!E32), COLUMN(รวมปกติ!E32), 4), ""), รวมปกติ!E32)</f>
        <v>17.25</v>
      </c>
      <c r="G33" s="186">
        <f>HYPERLINK(IF($L$1="เปิด", "#'รวมปกติ'!" &amp; ADDRESS(ROW(รวมปกติ!F32), COLUMN(รวมปกติ!F32), 4), ""), รวมปกติ!F32)</f>
        <v>160.5</v>
      </c>
      <c r="H33" s="187"/>
      <c r="I33" s="12">
        <f>HYPERLINK(IF($L$1="เปิด", "#'รวมพิเศษ'!" &amp; ADDRESS(ROW(รวมพิเศษ!C32), COLUMN(รวมพิเศษ!C32), 4), ""), รวมพิเศษ!C32)</f>
        <v>449.88</v>
      </c>
      <c r="J33" s="12">
        <f>HYPERLINK(IF($L$1="เปิด", "#'รวมพิเศษ'!" &amp; ADDRESS(ROW(รวมพิเศษ!D32), COLUMN(รวมพิเศษ!D32), 4), ""), รวมพิเศษ!D32)</f>
        <v>500.625</v>
      </c>
      <c r="K33" s="12">
        <f>HYPERLINK(IF($L$1="เปิด", "#'รวมพิเศษ'!" &amp; ADDRESS(ROW(รวมพิเศษ!E32), COLUMN(รวมพิเศษ!E32), 4), ""), รวมพิเศษ!E32)</f>
        <v>151.755</v>
      </c>
      <c r="L33" s="186">
        <f>HYPERLINK(IF($L$1="เปิด", "#'รวมพิเศษ'!" &amp; ADDRESS(ROW(รวมพิเศษ!F32), COLUMN(รวมพิเศษ!F32), 4), ""), รวมพิเศษ!F32)</f>
        <v>551.13</v>
      </c>
      <c r="M33" s="187"/>
      <c r="N33" s="280">
        <f t="shared" si="0"/>
        <v>609.255</v>
      </c>
      <c r="O33" s="12">
        <f t="shared" si="1"/>
        <v>645</v>
      </c>
      <c r="P33" s="12">
        <f t="shared" si="2"/>
        <v>169.005</v>
      </c>
      <c r="Q33" s="186">
        <f t="shared" si="3"/>
        <v>711.63</v>
      </c>
      <c r="R33" s="282">
        <f t="shared" si="4"/>
        <v>0</v>
      </c>
    </row>
    <row r="34" spans="1:18" ht="21" x14ac:dyDescent="0.35">
      <c r="A34" s="9" t="s">
        <v>71</v>
      </c>
      <c r="B34" s="120"/>
      <c r="C34" s="8" t="s">
        <v>8</v>
      </c>
      <c r="D34" s="182">
        <f>HYPERLINK(IF($L$1="เปิด", "#'รวมปกติ'!" &amp; ADDRESS(ROW(รวมปกติ!C33), COLUMN(รวมปกติ!C33), 4), ""), รวมปกติ!C33)</f>
        <v>1078.6099999999999</v>
      </c>
      <c r="E34" s="13">
        <f>HYPERLINK(IF($L$1="เปิด", "#'รวมปกติ'!" &amp; ADDRESS(ROW(รวมปกติ!D33), COLUMN(รวมปกติ!D33), 4), ""), รวมปกติ!D33)</f>
        <v>1038.1099999999999</v>
      </c>
      <c r="F34" s="13">
        <f>HYPERLINK(IF($L$1="เปิด", "#'รวมปกติ'!" &amp; ADDRESS(ROW(รวมปกติ!E33), COLUMN(รวมปกติ!E33), 4), ""), รวมปกติ!E33)</f>
        <v>14.22</v>
      </c>
      <c r="G34" s="188">
        <f>HYPERLINK(IF($L$1="เปิด", "#'รวมปกติ'!" &amp; ADDRESS(ROW(รวมปกติ!F33), COLUMN(รวมปกติ!F33), 4), ""), รวมปกติ!F33)</f>
        <v>1065.47</v>
      </c>
      <c r="H34" s="189">
        <f>HYPERLINK(IF($L$1="เปิด", "#'รวมปกติ'!" &amp; ADDRESS(ROW(รวมปกติ!G33), COLUMN(รวมปกติ!G33), 4), ""), รวมปกติ!G33)</f>
        <v>1084.05</v>
      </c>
      <c r="I34" s="13">
        <f>HYPERLINK(IF($L$1="เปิด", "#'รวมพิเศษ'!" &amp; ADDRESS(ROW(รวมพิเศษ!C33), COLUMN(รวมพิเศษ!C33), 4), ""), รวมพิเศษ!C33)</f>
        <v>15.39</v>
      </c>
      <c r="J34" s="13">
        <f>HYPERLINK(IF($L$1="เปิด", "#'รวมพิเศษ'!" &amp; ADDRESS(ROW(รวมพิเศษ!D33), COLUMN(รวมพิเศษ!D33), 4), ""), รวมพิเศษ!D33)</f>
        <v>1.33</v>
      </c>
      <c r="K34" s="13">
        <f>HYPERLINK(IF($L$1="เปิด", "#'รวมพิเศษ'!" &amp; ADDRESS(ROW(รวมพิเศษ!E33), COLUMN(รวมพิเศษ!E33), 4), ""), รวมพิเศษ!E33)</f>
        <v>0</v>
      </c>
      <c r="L34" s="188">
        <f>HYPERLINK(IF($L$1="เปิด", "#'รวมพิเศษ'!" &amp; ADDRESS(ROW(รวมพิเศษ!F33), COLUMN(รวมพิเศษ!F33), 4), ""), รวมพิเศษ!F33)</f>
        <v>8.36</v>
      </c>
      <c r="M34" s="189">
        <f>HYPERLINK(IF($L$1="เปิด", "#'รวมพิเศษ'!" &amp; ADDRESS(ROW(รวมพิเศษ!G33), COLUMN(รวมพิเศษ!G33), 4), ""), รวมพิเศษ!G33)</f>
        <v>8.36</v>
      </c>
      <c r="N34" s="181">
        <f t="shared" si="0"/>
        <v>1094</v>
      </c>
      <c r="O34" s="11">
        <f t="shared" si="1"/>
        <v>1039.4399999999998</v>
      </c>
      <c r="P34" s="11">
        <f t="shared" si="2"/>
        <v>14.22</v>
      </c>
      <c r="Q34" s="184">
        <f t="shared" si="3"/>
        <v>1073.83</v>
      </c>
      <c r="R34" s="283">
        <f t="shared" si="4"/>
        <v>1092.4099999999999</v>
      </c>
    </row>
    <row r="35" spans="1:18" ht="21" x14ac:dyDescent="0.35">
      <c r="A35" s="125" t="str">
        <f>HYPERLINK(IF($L$1="เปิด", "#'รวมปกติ'!A33", "#C35"), IF($L$1="เปิด", "ไปรวมปกติ (A33)", ""))</f>
        <v/>
      </c>
      <c r="B35" s="126" t="str">
        <f>HYPERLINK(IF($L$1="เปิด", "#'รวมพิเศษ'!A33", "#D35"), IF($L$1="เปิด", "ไปรวมพิเศษ (A33)", ""))</f>
        <v/>
      </c>
      <c r="C35" s="7" t="s">
        <v>97</v>
      </c>
      <c r="D35" s="180">
        <f>HYPERLINK(IF($L$1="เปิด", "#'รวมปกติ'!" &amp; ADDRESS(ROW(รวมปกติ!C34), COLUMN(รวมปกติ!C34), 4), ""), รวมปกติ!C34)</f>
        <v>19.25</v>
      </c>
      <c r="E35" s="12">
        <f>HYPERLINK(IF($L$1="เปิด", "#'รวมปกติ'!" &amp; ADDRESS(ROW(รวมปกติ!D34), COLUMN(รวมปกติ!D34), 4), ""), รวมปกติ!D34)</f>
        <v>17.920000000000002</v>
      </c>
      <c r="F35" s="12">
        <f>HYPERLINK(IF($L$1="เปิด", "#'รวมปกติ'!" &amp; ADDRESS(ROW(รวมปกติ!E34), COLUMN(รวมปกติ!E34), 4), ""), รวมปกติ!E34)</f>
        <v>0</v>
      </c>
      <c r="G35" s="186">
        <f>HYPERLINK(IF($L$1="เปิด", "#'รวมปกติ'!" &amp; ADDRESS(ROW(รวมปกติ!F34), COLUMN(รวมปกติ!F34), 4), ""), รวมปกติ!F34)</f>
        <v>18.579999999999998</v>
      </c>
      <c r="H35" s="187"/>
      <c r="I35" s="12">
        <f>HYPERLINK(IF($L$1="เปิด", "#'รวมพิเศษ'!" &amp; ADDRESS(ROW(รวมพิเศษ!C34), COLUMN(รวมพิเศษ!C34), 4), ""), รวมพิเศษ!C34)</f>
        <v>0</v>
      </c>
      <c r="J35" s="12">
        <f>HYPERLINK(IF($L$1="เปิด", "#'รวมพิเศษ'!" &amp; ADDRESS(ROW(รวมพิเศษ!D34), COLUMN(รวมพิเศษ!D34), 4), ""), รวมพิเศษ!D34)</f>
        <v>0</v>
      </c>
      <c r="K35" s="12">
        <f>HYPERLINK(IF($L$1="เปิด", "#'รวมพิเศษ'!" &amp; ADDRESS(ROW(รวมพิเศษ!E34), COLUMN(รวมพิเศษ!E34), 4), ""), รวมพิเศษ!E34)</f>
        <v>0</v>
      </c>
      <c r="L35" s="186">
        <f>HYPERLINK(IF($L$1="เปิด", "#'รวมพิเศษ'!" &amp; ADDRESS(ROW(รวมพิเศษ!F34), COLUMN(รวมพิเศษ!F34), 4), ""), รวมพิเศษ!F34)</f>
        <v>0</v>
      </c>
      <c r="M35" s="187"/>
      <c r="N35" s="280">
        <f t="shared" si="0"/>
        <v>19.25</v>
      </c>
      <c r="O35" s="12">
        <f t="shared" si="1"/>
        <v>17.920000000000002</v>
      </c>
      <c r="P35" s="12">
        <f t="shared" si="2"/>
        <v>0</v>
      </c>
      <c r="Q35" s="186">
        <f t="shared" si="3"/>
        <v>18.579999999999998</v>
      </c>
      <c r="R35" s="282">
        <f t="shared" si="4"/>
        <v>0</v>
      </c>
    </row>
    <row r="36" spans="1:18" ht="21" x14ac:dyDescent="0.35">
      <c r="A36" s="9" t="s">
        <v>72</v>
      </c>
      <c r="B36" s="120"/>
      <c r="C36" s="8" t="s">
        <v>8</v>
      </c>
      <c r="D36" s="182">
        <f>HYPERLINK(IF($L$1="เปิด", "#'รวมปกติ'!" &amp; ADDRESS(ROW(รวมปกติ!C35), COLUMN(รวมปกติ!C35), 4), ""), รวมปกติ!C35)</f>
        <v>1060.8900000000001</v>
      </c>
      <c r="E36" s="13">
        <f>HYPERLINK(IF($L$1="เปิด", "#'รวมปกติ'!" &amp; ADDRESS(ROW(รวมปกติ!D35), COLUMN(รวมปกติ!D35), 4), ""), รวมปกติ!D35)</f>
        <v>1153</v>
      </c>
      <c r="F36" s="13">
        <f>HYPERLINK(IF($L$1="เปิด", "#'รวมปกติ'!" &amp; ADDRESS(ROW(รวมปกติ!E35), COLUMN(รวมปกติ!E35), 4), ""), รวมปกติ!E35)</f>
        <v>22.67</v>
      </c>
      <c r="G36" s="188">
        <f>HYPERLINK(IF($L$1="เปิด", "#'รวมปกติ'!" &amp; ADDRESS(ROW(รวมปกติ!F35), COLUMN(รวมปกติ!F35), 4), ""), รวมปกติ!F35)</f>
        <v>1118.28</v>
      </c>
      <c r="H36" s="189">
        <f>HYPERLINK(IF($L$1="เปิด", "#'รวมปกติ'!" &amp; ADDRESS(ROW(รวมปกติ!G35), COLUMN(รวมปกติ!G35), 4), ""), รวมปกติ!G35)</f>
        <v>1125.95</v>
      </c>
      <c r="I36" s="13">
        <f>HYPERLINK(IF($L$1="เปิด", "#'รวมพิเศษ'!" &amp; ADDRESS(ROW(รวมพิเศษ!C35), COLUMN(รวมพิเศษ!C35), 4), ""), รวมพิเศษ!C35)</f>
        <v>63.89</v>
      </c>
      <c r="J36" s="13">
        <f>HYPERLINK(IF($L$1="เปิด", "#'รวมพิเศษ'!" &amp; ADDRESS(ROW(รวมพิเศษ!D35), COLUMN(รวมพิเศษ!D35), 4), ""), รวมพิเศษ!D35)</f>
        <v>4</v>
      </c>
      <c r="K36" s="13">
        <f>HYPERLINK(IF($L$1="เปิด", "#'รวมพิเศษ'!" &amp; ADDRESS(ROW(รวมพิเศษ!E35), COLUMN(รวมพิเศษ!E35), 4), ""), รวมพิเศษ!E35)</f>
        <v>0</v>
      </c>
      <c r="L36" s="188">
        <f>HYPERLINK(IF($L$1="เปิด", "#'รวมพิเศษ'!" &amp; ADDRESS(ROW(รวมพิเศษ!F35), COLUMN(รวมพิเศษ!F35), 4), ""), รวมพิเศษ!F35)</f>
        <v>0</v>
      </c>
      <c r="M36" s="189">
        <f>HYPERLINK(IF($L$1="เปิด", "#'รวมพิเศษ'!" &amp; ADDRESS(ROW(รวมพิเศษ!G35), COLUMN(รวมพิเศษ!G35), 4), ""), รวมพิเศษ!G35)</f>
        <v>0</v>
      </c>
      <c r="N36" s="181">
        <f t="shared" ref="N36:N53" si="5">D36+I36</f>
        <v>1124.7800000000002</v>
      </c>
      <c r="O36" s="11">
        <f t="shared" ref="O36:O53" si="6">E36+J36</f>
        <v>1157</v>
      </c>
      <c r="P36" s="11">
        <f t="shared" ref="P36:P53" si="7">F36+K36</f>
        <v>22.67</v>
      </c>
      <c r="Q36" s="184">
        <f t="shared" ref="Q36:Q53" si="8">G36+L36</f>
        <v>1118.28</v>
      </c>
      <c r="R36" s="283">
        <f t="shared" ref="R36:R53" si="9">H36+M36</f>
        <v>1125.95</v>
      </c>
    </row>
    <row r="37" spans="1:18" ht="21" x14ac:dyDescent="0.35">
      <c r="A37" s="125" t="str">
        <f>HYPERLINK(IF($L$1="เปิด", "#'รวมปกติ'!A35", "#C37"), IF($L$1="เปิด", "ไปรวมปกติ (A35)", ""))</f>
        <v/>
      </c>
      <c r="B37" s="126" t="str">
        <f>HYPERLINK(IF($L$1="เปิด", "#'รวมพิเศษ'!A35", "#D37"), IF($L$1="เปิด", "ไปรวมพิเศษ (A35)", ""))</f>
        <v/>
      </c>
      <c r="C37" s="7" t="s">
        <v>97</v>
      </c>
      <c r="D37" s="180">
        <f>HYPERLINK(IF($L$1="เปิด", "#'รวมปกติ'!" &amp; ADDRESS(ROW(รวมปกติ!C36), COLUMN(รวมปกติ!C36), 4), ""), รวมปกติ!C36)</f>
        <v>6.67</v>
      </c>
      <c r="E37" s="12">
        <f>HYPERLINK(IF($L$1="เปิด", "#'รวมปกติ'!" &amp; ADDRESS(ROW(รวมปกติ!D36), COLUMN(รวมปกติ!D36), 4), ""), รวมปกติ!D36)</f>
        <v>8.67</v>
      </c>
      <c r="F37" s="12">
        <f>HYPERLINK(IF($L$1="เปิด", "#'รวมปกติ'!" &amp; ADDRESS(ROW(รวมปกติ!E36), COLUMN(รวมปกติ!E36), 4), ""), รวมปกติ!E36)</f>
        <v>0</v>
      </c>
      <c r="G37" s="186">
        <f>HYPERLINK(IF($L$1="เปิด", "#'รวมปกติ'!" &amp; ADDRESS(ROW(รวมปกติ!F36), COLUMN(รวมปกติ!F36), 4), ""), รวมปกติ!F36)</f>
        <v>7.67</v>
      </c>
      <c r="H37" s="187"/>
      <c r="I37" s="12">
        <f>HYPERLINK(IF($L$1="เปิด", "#'รวมพิเศษ'!" &amp; ADDRESS(ROW(รวมพิเศษ!C36), COLUMN(รวมพิเศษ!C36), 4), ""), รวมพิเศษ!C36)</f>
        <v>62.17</v>
      </c>
      <c r="J37" s="12">
        <f>HYPERLINK(IF($L$1="เปิด", "#'รวมพิเศษ'!" &amp; ADDRESS(ROW(รวมพิเศษ!D36), COLUMN(รวมพิเศษ!D36), 4), ""), รวมพิเศษ!D36)</f>
        <v>38.08</v>
      </c>
      <c r="K37" s="12">
        <f>HYPERLINK(IF($L$1="เปิด", "#'รวมพิเศษ'!" &amp; ADDRESS(ROW(รวมพิเศษ!E36), COLUMN(รวมพิเศษ!E36), 4), ""), รวมพิเศษ!E36)</f>
        <v>17</v>
      </c>
      <c r="L37" s="186">
        <f>HYPERLINK(IF($L$1="เปิด", "#'รวมพิเศษ'!" &amp; ADDRESS(ROW(รวมพิเศษ!F36), COLUMN(รวมพิเศษ!F36), 4), ""), รวมพิเศษ!F36)</f>
        <v>0</v>
      </c>
      <c r="M37" s="187"/>
      <c r="N37" s="280">
        <f t="shared" si="5"/>
        <v>68.84</v>
      </c>
      <c r="O37" s="12">
        <f t="shared" si="6"/>
        <v>46.75</v>
      </c>
      <c r="P37" s="12">
        <f t="shared" si="7"/>
        <v>17</v>
      </c>
      <c r="Q37" s="186">
        <f t="shared" si="8"/>
        <v>7.67</v>
      </c>
      <c r="R37" s="282">
        <f t="shared" si="9"/>
        <v>0</v>
      </c>
    </row>
    <row r="38" spans="1:18" ht="21" x14ac:dyDescent="0.35">
      <c r="A38" s="9" t="s">
        <v>79</v>
      </c>
      <c r="B38" s="120"/>
      <c r="C38" s="8" t="s">
        <v>8</v>
      </c>
      <c r="D38" s="182">
        <f>HYPERLINK(IF($L$1="เปิด", "#'รวมปกติ'!" &amp; ADDRESS(ROW(รวมปกติ!C37), COLUMN(รวมปกติ!C37), 4), ""), รวมปกติ!C37)</f>
        <v>646.5</v>
      </c>
      <c r="E38" s="13">
        <f>HYPERLINK(IF($L$1="เปิด", "#'รวมปกติ'!" &amp; ADDRESS(ROW(รวมปกติ!D37), COLUMN(รวมปกติ!D37), 4), ""), รวมปกติ!D37)</f>
        <v>484.89</v>
      </c>
      <c r="F38" s="13">
        <f>HYPERLINK(IF($L$1="เปิด", "#'รวมปกติ'!" &amp; ADDRESS(ROW(รวมปกติ!E37), COLUMN(รวมปกติ!E37), 4), ""), รวมปกติ!E37)</f>
        <v>0.67</v>
      </c>
      <c r="G38" s="188">
        <f>HYPERLINK(IF($L$1="เปิด", "#'รวมปกติ'!" &amp; ADDRESS(ROW(รวมปกติ!F37), COLUMN(รวมปกติ!F37), 4), ""), รวมปกติ!F37)</f>
        <v>566.03</v>
      </c>
      <c r="H38" s="189">
        <f>HYPERLINK(IF($L$1="เปิด", "#'รวมปกติ'!" &amp; ADDRESS(ROW(รวมปกติ!G37), COLUMN(รวมปกติ!G37), 4), ""), รวมปกติ!G37)</f>
        <v>566.03</v>
      </c>
      <c r="I38" s="13">
        <f>HYPERLINK(IF($L$1="เปิด", "#'รวมพิเศษ'!" &amp; ADDRESS(ROW(รวมพิเศษ!C37), COLUMN(รวมพิเศษ!C37), 4), ""), รวมพิเศษ!C37)</f>
        <v>0</v>
      </c>
      <c r="J38" s="13">
        <f>HYPERLINK(IF($L$1="เปิด", "#'รวมพิเศษ'!" &amp; ADDRESS(ROW(รวมพิเศษ!D37), COLUMN(รวมพิเศษ!D37), 4), ""), รวมพิเศษ!D37)</f>
        <v>0</v>
      </c>
      <c r="K38" s="13">
        <f>HYPERLINK(IF($L$1="เปิด", "#'รวมพิเศษ'!" &amp; ADDRESS(ROW(รวมพิเศษ!E37), COLUMN(รวมพิเศษ!E37), 4), ""), รวมพิเศษ!E37)</f>
        <v>0</v>
      </c>
      <c r="L38" s="188">
        <f>HYPERLINK(IF($L$1="เปิด", "#'รวมพิเศษ'!" &amp; ADDRESS(ROW(รวมพิเศษ!F37), COLUMN(รวมพิเศษ!F37), 4), ""), รวมพิเศษ!F37)</f>
        <v>58.63</v>
      </c>
      <c r="M38" s="189">
        <f>HYPERLINK(IF($L$1="เปิด", "#'รวมพิเศษ'!" &amp; ADDRESS(ROW(รวมพิเศษ!G37), COLUMN(รวมพิเศษ!G37), 4), ""), รวมพิเศษ!G37)</f>
        <v>58.63</v>
      </c>
      <c r="N38" s="181">
        <f t="shared" si="5"/>
        <v>646.5</v>
      </c>
      <c r="O38" s="11">
        <f t="shared" si="6"/>
        <v>484.89</v>
      </c>
      <c r="P38" s="11">
        <f t="shared" si="7"/>
        <v>0.67</v>
      </c>
      <c r="Q38" s="184">
        <f t="shared" si="8"/>
        <v>624.66</v>
      </c>
      <c r="R38" s="283">
        <f t="shared" si="9"/>
        <v>624.66</v>
      </c>
    </row>
    <row r="39" spans="1:18" ht="21" x14ac:dyDescent="0.35">
      <c r="A39" s="125" t="str">
        <f>HYPERLINK(IF($L$1="เปิด", "#'รวมปกติ'!A37", "#C39"), IF($L$1="เปิด", "ไปรวมปกติ (A37)", ""))</f>
        <v/>
      </c>
      <c r="B39" s="126" t="str">
        <f>HYPERLINK(IF($L$1="เปิด", "#'รวมพิเศษ'!A37", "#D39"), IF($L$1="เปิด", "ไปรวมพิเศษ (A37)", ""))</f>
        <v/>
      </c>
      <c r="C39" s="7" t="s">
        <v>97</v>
      </c>
      <c r="D39" s="180">
        <f>HYPERLINK(IF($L$1="เปิด", "#'รวมปกติ'!" &amp; ADDRESS(ROW(รวมปกติ!C38), COLUMN(รวมปกติ!C38), 4), ""), รวมปกติ!C38)</f>
        <v>0</v>
      </c>
      <c r="E39" s="12">
        <f>HYPERLINK(IF($L$1="เปิด", "#'รวมปกติ'!" &amp; ADDRESS(ROW(รวมปกติ!D38), COLUMN(รวมปกติ!D38), 4), ""), รวมปกติ!D38)</f>
        <v>0</v>
      </c>
      <c r="F39" s="12">
        <f>HYPERLINK(IF($L$1="เปิด", "#'รวมปกติ'!" &amp; ADDRESS(ROW(รวมปกติ!E38), COLUMN(รวมปกติ!E38), 4), ""), รวมปกติ!E38)</f>
        <v>0</v>
      </c>
      <c r="G39" s="186">
        <f>HYPERLINK(IF($L$1="เปิด", "#'รวมปกติ'!" &amp; ADDRESS(ROW(รวมปกติ!F38), COLUMN(รวมปกติ!F38), 4), ""), รวมปกติ!F38)</f>
        <v>0</v>
      </c>
      <c r="H39" s="187"/>
      <c r="I39" s="12">
        <f>HYPERLINK(IF($L$1="เปิด", "#'รวมพิเศษ'!" &amp; ADDRESS(ROW(รวมพิเศษ!C38), COLUMN(รวมพิเศษ!C38), 4), ""), รวมพิเศษ!C38)</f>
        <v>12.6</v>
      </c>
      <c r="J39" s="12">
        <f>HYPERLINK(IF($L$1="เปิด", "#'รวมพิเศษ'!" &amp; ADDRESS(ROW(รวมพิเศษ!D38), COLUMN(รวมพิเศษ!D38), 4), ""), รวมพิเศษ!D38)</f>
        <v>7.2</v>
      </c>
      <c r="K39" s="12">
        <f>HYPERLINK(IF($L$1="เปิด", "#'รวมพิเศษ'!" &amp; ADDRESS(ROW(รวมพิเศษ!E38), COLUMN(รวมพิเศษ!E38), 4), ""), รวมพิเศษ!E38)</f>
        <v>0</v>
      </c>
      <c r="L39" s="186">
        <f>HYPERLINK(IF($L$1="เปิด", "#'รวมพิเศษ'!" &amp; ADDRESS(ROW(รวมพิเศษ!F38), COLUMN(รวมพิเศษ!F38), 4), ""), รวมพิเศษ!F38)</f>
        <v>0</v>
      </c>
      <c r="M39" s="187"/>
      <c r="N39" s="280">
        <f t="shared" si="5"/>
        <v>12.6</v>
      </c>
      <c r="O39" s="12">
        <f t="shared" si="6"/>
        <v>7.2</v>
      </c>
      <c r="P39" s="12">
        <f t="shared" si="7"/>
        <v>0</v>
      </c>
      <c r="Q39" s="186">
        <f t="shared" si="8"/>
        <v>0</v>
      </c>
      <c r="R39" s="282">
        <f t="shared" si="9"/>
        <v>0</v>
      </c>
    </row>
    <row r="40" spans="1:18" ht="21" x14ac:dyDescent="0.35">
      <c r="A40" s="9" t="s">
        <v>80</v>
      </c>
      <c r="B40" s="120"/>
      <c r="C40" s="8" t="s">
        <v>8</v>
      </c>
      <c r="D40" s="182">
        <f>HYPERLINK(IF($L$1="เปิด", "#'รวมปกติ'!" &amp; ADDRESS(ROW(รวมปกติ!C39), COLUMN(รวมปกติ!C39), 4), ""), รวมปกติ!C39)</f>
        <v>0</v>
      </c>
      <c r="E40" s="13">
        <f>HYPERLINK(IF($L$1="เปิด", "#'รวมปกติ'!" &amp; ADDRESS(ROW(รวมปกติ!D39), COLUMN(รวมปกติ!D39), 4), ""), รวมปกติ!D39)</f>
        <v>0</v>
      </c>
      <c r="F40" s="13">
        <f>HYPERLINK(IF($L$1="เปิด", "#'รวมปกติ'!" &amp; ADDRESS(ROW(รวมปกติ!E39), COLUMN(รวมปกติ!E39), 4), ""), รวมปกติ!E39)</f>
        <v>0</v>
      </c>
      <c r="G40" s="188">
        <f>HYPERLINK(IF($L$1="เปิด", "#'รวมปกติ'!" &amp; ADDRESS(ROW(รวมปกติ!F39), COLUMN(รวมปกติ!F39), 4), ""), รวมปกติ!F39)</f>
        <v>0</v>
      </c>
      <c r="H40" s="189">
        <f>HYPERLINK(IF($L$1="เปิด", "#'รวมปกติ'!" &amp; ADDRESS(ROW(รวมปกติ!G39), COLUMN(รวมปกติ!G39), 4), ""), รวมปกติ!G39)</f>
        <v>0</v>
      </c>
      <c r="I40" s="13">
        <f>HYPERLINK(IF($L$1="เปิด", "#'รวมพิเศษ'!" &amp; ADDRESS(ROW(รวมพิเศษ!C39), COLUMN(รวมพิเศษ!C39), 4), ""), รวมพิเศษ!C39)</f>
        <v>0</v>
      </c>
      <c r="J40" s="13">
        <f>HYPERLINK(IF($L$1="เปิด", "#'รวมพิเศษ'!" &amp; ADDRESS(ROW(รวมพิเศษ!D39), COLUMN(รวมพิเศษ!D39), 4), ""), รวมพิเศษ!D39)</f>
        <v>0</v>
      </c>
      <c r="K40" s="13">
        <f>HYPERLINK(IF($L$1="เปิด", "#'รวมพิเศษ'!" &amp; ADDRESS(ROW(รวมพิเศษ!E39), COLUMN(รวมพิเศษ!E39), 4), ""), รวมพิเศษ!E39)</f>
        <v>0</v>
      </c>
      <c r="L40" s="188">
        <f>HYPERLINK(IF($L$1="เปิด", "#'รวมพิเศษ'!" &amp; ADDRESS(ROW(รวมพิเศษ!F39), COLUMN(รวมพิเศษ!F39), 4), ""), รวมพิเศษ!F39)</f>
        <v>5.5</v>
      </c>
      <c r="M40" s="189">
        <f>HYPERLINK(IF($L$1="เปิด", "#'รวมพิเศษ'!" &amp; ADDRESS(ROW(รวมพิเศษ!G39), COLUMN(รวมพิเศษ!G39), 4), ""), รวมพิเศษ!G39)</f>
        <v>5.5</v>
      </c>
      <c r="N40" s="181">
        <f t="shared" si="5"/>
        <v>0</v>
      </c>
      <c r="O40" s="11">
        <f t="shared" si="6"/>
        <v>0</v>
      </c>
      <c r="P40" s="11">
        <f t="shared" si="7"/>
        <v>0</v>
      </c>
      <c r="Q40" s="184">
        <f t="shared" si="8"/>
        <v>5.5</v>
      </c>
      <c r="R40" s="283">
        <f t="shared" si="9"/>
        <v>5.5</v>
      </c>
    </row>
    <row r="41" spans="1:18" ht="21" x14ac:dyDescent="0.35">
      <c r="A41" s="125" t="str">
        <f>HYPERLINK(IF($L$1="เปิด", "#'รวมปกติ'!A39", "#C41"), IF($L$1="เปิด", "ไปรวมปกติ (A39)", ""))</f>
        <v/>
      </c>
      <c r="B41" s="126" t="str">
        <f>HYPERLINK(IF($L$1="เปิด", "#'รวมพิเศษ'!A39", "#D41"), IF($L$1="เปิด", "ไปรวมพิเศษ (A39)", ""))</f>
        <v/>
      </c>
      <c r="C41" s="7" t="s">
        <v>97</v>
      </c>
      <c r="D41" s="180">
        <f>HYPERLINK(IF($L$1="เปิด", "#'รวมปกติ'!" &amp; ADDRESS(ROW(รวมปกติ!C40), COLUMN(รวมปกติ!C40), 4), ""), รวมปกติ!C40)</f>
        <v>0</v>
      </c>
      <c r="E41" s="12">
        <f>HYPERLINK(IF($L$1="เปิด", "#'รวมปกติ'!" &amp; ADDRESS(ROW(รวมปกติ!D40), COLUMN(รวมปกติ!D40), 4), ""), รวมปกติ!D40)</f>
        <v>0</v>
      </c>
      <c r="F41" s="12">
        <f>HYPERLINK(IF($L$1="เปิด", "#'รวมปกติ'!" &amp; ADDRESS(ROW(รวมปกติ!E40), COLUMN(รวมปกติ!E40), 4), ""), รวมปกติ!E40)</f>
        <v>0</v>
      </c>
      <c r="G41" s="186">
        <f>HYPERLINK(IF($L$1="เปิด", "#'รวมปกติ'!" &amp; ADDRESS(ROW(รวมปกติ!F40), COLUMN(รวมปกติ!F40), 4), ""), รวมปกติ!F40)</f>
        <v>0</v>
      </c>
      <c r="H41" s="187"/>
      <c r="I41" s="12">
        <f>HYPERLINK(IF($L$1="เปิด", "#'รวมพิเศษ'!" &amp; ADDRESS(ROW(รวมพิเศษ!C40), COLUMN(รวมพิเศษ!C40), 4), ""), รวมพิเศษ!C40)</f>
        <v>0</v>
      </c>
      <c r="J41" s="12">
        <f>HYPERLINK(IF($L$1="เปิด", "#'รวมพิเศษ'!" &amp; ADDRESS(ROW(รวมพิเศษ!D40), COLUMN(รวมพิเศษ!D40), 4), ""), รวมพิเศษ!D40)</f>
        <v>0</v>
      </c>
      <c r="K41" s="12">
        <f>HYPERLINK(IF($L$1="เปิด", "#'รวมพิเศษ'!" &amp; ADDRESS(ROW(รวมพิเศษ!E40), COLUMN(รวมพิเศษ!E40), 4), ""), รวมพิเศษ!E40)</f>
        <v>0</v>
      </c>
      <c r="L41" s="186">
        <f>HYPERLINK(IF($L$1="เปิด", "#'รวมพิเศษ'!" &amp; ADDRESS(ROW(รวมพิเศษ!F40), COLUMN(รวมพิเศษ!F40), 4), ""), รวมพิเศษ!F40)</f>
        <v>0</v>
      </c>
      <c r="M41" s="187"/>
      <c r="N41" s="280">
        <f t="shared" si="5"/>
        <v>0</v>
      </c>
      <c r="O41" s="12">
        <f t="shared" si="6"/>
        <v>0</v>
      </c>
      <c r="P41" s="12">
        <f t="shared" si="7"/>
        <v>0</v>
      </c>
      <c r="Q41" s="186">
        <f t="shared" si="8"/>
        <v>0</v>
      </c>
      <c r="R41" s="282">
        <f t="shared" si="9"/>
        <v>0</v>
      </c>
    </row>
    <row r="42" spans="1:18" ht="21" x14ac:dyDescent="0.35">
      <c r="A42" s="9" t="s">
        <v>81</v>
      </c>
      <c r="B42" s="120"/>
      <c r="C42" s="8" t="s">
        <v>8</v>
      </c>
      <c r="D42" s="182">
        <f>HYPERLINK(IF($L$1="เปิด", "#'รวมปกติ'!" &amp; ADDRESS(ROW(รวมปกติ!C41), COLUMN(รวมปกติ!C41), 4), ""), รวมปกติ!C41)</f>
        <v>1004.17</v>
      </c>
      <c r="E42" s="13">
        <f>HYPERLINK(IF($L$1="เปิด", "#'รวมปกติ'!" &amp; ADDRESS(ROW(รวมปกติ!D41), COLUMN(รวมปกติ!D41), 4), ""), รวมปกติ!D41)</f>
        <v>955.61</v>
      </c>
      <c r="F42" s="13">
        <f>HYPERLINK(IF($L$1="เปิด", "#'รวมปกติ'!" &amp; ADDRESS(ROW(รวมปกติ!E41), COLUMN(รวมปกติ!E41), 4), ""), รวมปกติ!E41)</f>
        <v>0</v>
      </c>
      <c r="G42" s="188">
        <f>HYPERLINK(IF($L$1="เปิด", "#'รวมปกติ'!" &amp; ADDRESS(ROW(รวมปกติ!F41), COLUMN(รวมปกติ!F41), 4), ""), รวมปกติ!F41)</f>
        <v>979.89</v>
      </c>
      <c r="H42" s="189">
        <f>HYPERLINK(IF($L$1="เปิด", "#'รวมปกติ'!" &amp; ADDRESS(ROW(รวมปกติ!G41), COLUMN(รวมปกติ!G41), 4), ""), รวมปกติ!G41)</f>
        <v>979.89</v>
      </c>
      <c r="I42" s="13">
        <f>HYPERLINK(IF($L$1="เปิด", "#'รวมพิเศษ'!" &amp; ADDRESS(ROW(รวมพิเศษ!C41), COLUMN(รวมพิเศษ!C41), 4), ""), รวมพิเศษ!C41)</f>
        <v>0</v>
      </c>
      <c r="J42" s="13">
        <f>HYPERLINK(IF($L$1="เปิด", "#'รวมพิเศษ'!" &amp; ADDRESS(ROW(รวมพิเศษ!D41), COLUMN(รวมพิเศษ!D41), 4), ""), รวมพิเศษ!D41)</f>
        <v>85.83</v>
      </c>
      <c r="K42" s="13">
        <f>HYPERLINK(IF($L$1="เปิด", "#'รวมพิเศษ'!" &amp; ADDRESS(ROW(รวมพิเศษ!E41), COLUMN(รวมพิเศษ!E41), 4), ""), รวมพิเศษ!E41)</f>
        <v>12.17</v>
      </c>
      <c r="L42" s="188">
        <f>HYPERLINK(IF($L$1="เปิด", "#'รวมพิเศษ'!" &amp; ADDRESS(ROW(รวมพิเศษ!F41), COLUMN(รวมพิเศษ!F41), 4), ""), รวมพิเศษ!F41)</f>
        <v>0</v>
      </c>
      <c r="M42" s="189">
        <f>HYPERLINK(IF($L$1="เปิด", "#'รวมพิเศษ'!" &amp; ADDRESS(ROW(รวมพิเศษ!G41), COLUMN(รวมพิเศษ!G41), 4), ""), รวมพิเศษ!G41)</f>
        <v>0</v>
      </c>
      <c r="N42" s="181">
        <f t="shared" si="5"/>
        <v>1004.17</v>
      </c>
      <c r="O42" s="11">
        <f t="shared" si="6"/>
        <v>1041.44</v>
      </c>
      <c r="P42" s="11">
        <f t="shared" si="7"/>
        <v>12.17</v>
      </c>
      <c r="Q42" s="184">
        <f t="shared" si="8"/>
        <v>979.89</v>
      </c>
      <c r="R42" s="283">
        <f t="shared" si="9"/>
        <v>979.89</v>
      </c>
    </row>
    <row r="43" spans="1:18" ht="21" x14ac:dyDescent="0.35">
      <c r="A43" s="125" t="str">
        <f>HYPERLINK(IF($L$1="เปิด", "#'รวมปกติ'!A41", "#C43"), IF($L$1="เปิด", "ไปรวมปกติ (A41)", ""))</f>
        <v/>
      </c>
      <c r="B43" s="126" t="str">
        <f>HYPERLINK(IF($L$1="เปิด", "#'รวมพิเศษ'!A41", "#D43"), IF($L$1="เปิด", "ไปรวมพิเศษ (A41)", ""))</f>
        <v/>
      </c>
      <c r="C43" s="7" t="s">
        <v>97</v>
      </c>
      <c r="D43" s="180">
        <f>HYPERLINK(IF($L$1="เปิด", "#'รวมปกติ'!" &amp; ADDRESS(ROW(รวมปกติ!C42), COLUMN(รวมปกติ!C42), 4), ""), รวมปกติ!C42)</f>
        <v>0</v>
      </c>
      <c r="E43" s="12">
        <f>HYPERLINK(IF($L$1="เปิด", "#'รวมปกติ'!" &amp; ADDRESS(ROW(รวมปกติ!D42), COLUMN(รวมปกติ!D42), 4), ""), รวมปกติ!D42)</f>
        <v>0</v>
      </c>
      <c r="F43" s="12">
        <f>HYPERLINK(IF($L$1="เปิด", "#'รวมปกติ'!" &amp; ADDRESS(ROW(รวมปกติ!E42), COLUMN(รวมปกติ!E42), 4), ""), รวมปกติ!E42)</f>
        <v>0</v>
      </c>
      <c r="G43" s="186">
        <f>HYPERLINK(IF($L$1="เปิด", "#'รวมปกติ'!" &amp; ADDRESS(ROW(รวมปกติ!F42), COLUMN(รวมปกติ!F42), 4), ""), รวมปกติ!F42)</f>
        <v>0</v>
      </c>
      <c r="H43" s="187"/>
      <c r="I43" s="12">
        <f>HYPERLINK(IF($L$1="เปิด", "#'รวมพิเศษ'!" &amp; ADDRESS(ROW(รวมพิเศษ!C42), COLUMN(รวมพิเศษ!C42), 4), ""), รวมพิเศษ!C42)</f>
        <v>0</v>
      </c>
      <c r="J43" s="12">
        <f>HYPERLINK(IF($L$1="เปิด", "#'รวมพิเศษ'!" &amp; ADDRESS(ROW(รวมพิเศษ!D42), COLUMN(รวมพิเศษ!D42), 4), ""), รวมพิเศษ!D42)</f>
        <v>0</v>
      </c>
      <c r="K43" s="12">
        <f>HYPERLINK(IF($L$1="เปิด", "#'รวมพิเศษ'!" &amp; ADDRESS(ROW(รวมพิเศษ!E42), COLUMN(รวมพิเศษ!E42), 4), ""), รวมพิเศษ!E42)</f>
        <v>0</v>
      </c>
      <c r="L43" s="186">
        <f>HYPERLINK(IF($L$1="เปิด", "#'รวมพิเศษ'!" &amp; ADDRESS(ROW(รวมพิเศษ!F42), COLUMN(รวมพิเศษ!F42), 4), ""), รวมพิเศษ!F42)</f>
        <v>0</v>
      </c>
      <c r="M43" s="187"/>
      <c r="N43" s="280">
        <f t="shared" si="5"/>
        <v>0</v>
      </c>
      <c r="O43" s="12">
        <f t="shared" si="6"/>
        <v>0</v>
      </c>
      <c r="P43" s="12">
        <f t="shared" si="7"/>
        <v>0</v>
      </c>
      <c r="Q43" s="186">
        <f t="shared" si="8"/>
        <v>0</v>
      </c>
      <c r="R43" s="282">
        <f t="shared" si="9"/>
        <v>0</v>
      </c>
    </row>
    <row r="44" spans="1:18" ht="21" x14ac:dyDescent="0.35">
      <c r="A44" s="9" t="s">
        <v>84</v>
      </c>
      <c r="B44" s="120"/>
      <c r="C44" s="8" t="s">
        <v>8</v>
      </c>
      <c r="D44" s="182">
        <f>HYPERLINK(IF($L$1="เปิด", "#'รวมปกติ'!" &amp; ADDRESS(ROW(รวมปกติ!C43), COLUMN(รวมปกติ!C43), 4), ""), รวมปกติ!C43)</f>
        <v>147</v>
      </c>
      <c r="E44" s="13">
        <f>HYPERLINK(IF($L$1="เปิด", "#'รวมปกติ'!" &amp; ADDRESS(ROW(รวมปกติ!D43), COLUMN(รวมปกติ!D43), 4), ""), รวมปกติ!D43)</f>
        <v>121.33</v>
      </c>
      <c r="F44" s="13">
        <f>HYPERLINK(IF($L$1="เปิด", "#'รวมปกติ'!" &amp; ADDRESS(ROW(รวมปกติ!E43), COLUMN(รวมปกติ!E43), 4), ""), รวมปกติ!E43)</f>
        <v>0.56000000000000005</v>
      </c>
      <c r="G44" s="188">
        <f>HYPERLINK(IF($L$1="เปิด", "#'รวมปกติ'!" &amp; ADDRESS(ROW(รวมปกติ!F43), COLUMN(รวมปกติ!F43), 4), ""), รวมปกติ!F43)</f>
        <v>134.44</v>
      </c>
      <c r="H44" s="189">
        <f>HYPERLINK(IF($L$1="เปิด", "#'รวมปกติ'!" &amp; ADDRESS(ROW(รวมปกติ!G43), COLUMN(รวมปกติ!G43), 4), ""), รวมปกติ!G43)</f>
        <v>137.19999999999999</v>
      </c>
      <c r="I44" s="13">
        <f>HYPERLINK(IF($L$1="เปิด", "#'รวมพิเศษ'!" &amp; ADDRESS(ROW(รวมพิเศษ!C43), COLUMN(รวมพิเศษ!C43), 4), ""), รวมพิเศษ!C43)</f>
        <v>39.39</v>
      </c>
      <c r="J44" s="13">
        <f>HYPERLINK(IF($L$1="เปิด", "#'รวมพิเศษ'!" &amp; ADDRESS(ROW(รวมพิเศษ!D43), COLUMN(รวมพิเศษ!D43), 4), ""), รวมพิเศษ!D43)</f>
        <v>0</v>
      </c>
      <c r="K44" s="13">
        <f>HYPERLINK(IF($L$1="เปิด", "#'รวมพิเศษ'!" &amp; ADDRESS(ROW(รวมพิเศษ!E43), COLUMN(รวมพิเศษ!E43), 4), ""), รวมพิเศษ!E43)</f>
        <v>0</v>
      </c>
      <c r="L44" s="188">
        <f>HYPERLINK(IF($L$1="เปิด", "#'รวมพิเศษ'!" &amp; ADDRESS(ROW(รวมพิเศษ!F43), COLUMN(รวมพิเศษ!F43), 4), ""), รวมพิเศษ!F43)</f>
        <v>0</v>
      </c>
      <c r="M44" s="189">
        <f>HYPERLINK(IF($L$1="เปิด", "#'รวมพิเศษ'!" &amp; ADDRESS(ROW(รวมพิเศษ!G43), COLUMN(รวมพิเศษ!G43), 4), ""), รวมพิเศษ!G43)</f>
        <v>0</v>
      </c>
      <c r="N44" s="181">
        <f t="shared" si="5"/>
        <v>186.39</v>
      </c>
      <c r="O44" s="11">
        <f t="shared" si="6"/>
        <v>121.33</v>
      </c>
      <c r="P44" s="11">
        <f t="shared" si="7"/>
        <v>0.56000000000000005</v>
      </c>
      <c r="Q44" s="184">
        <f t="shared" si="8"/>
        <v>134.44</v>
      </c>
      <c r="R44" s="283">
        <f t="shared" si="9"/>
        <v>137.19999999999999</v>
      </c>
    </row>
    <row r="45" spans="1:18" ht="21" x14ac:dyDescent="0.35">
      <c r="A45" s="125" t="str">
        <f>HYPERLINK(IF($L$1="เปิด", "#'รวมปกติ'!A43", "#C45"), IF($L$1="เปิด", "ไปรวมปกติ (A43)", ""))</f>
        <v/>
      </c>
      <c r="B45" s="126" t="str">
        <f>HYPERLINK(IF($L$1="เปิด", "#'รวมพิเศษ'!A43", "#D45"), IF($L$1="เปิด", "ไปรวมพิเศษ (A43)", ""))</f>
        <v/>
      </c>
      <c r="C45" s="7" t="s">
        <v>97</v>
      </c>
      <c r="D45" s="180">
        <f>HYPERLINK(IF($L$1="เปิด", "#'รวมปกติ'!" &amp; ADDRESS(ROW(รวมปกติ!C44), COLUMN(รวมปกติ!C44), 4), ""), รวมปกติ!C44)</f>
        <v>3.5</v>
      </c>
      <c r="E45" s="12">
        <f>HYPERLINK(IF($L$1="เปิด", "#'รวมปกติ'!" &amp; ADDRESS(ROW(รวมปกติ!D44), COLUMN(รวมปกติ!D44), 4), ""), รวมปกติ!D44)</f>
        <v>1</v>
      </c>
      <c r="F45" s="12">
        <f>HYPERLINK(IF($L$1="เปิด", "#'รวมปกติ'!" &amp; ADDRESS(ROW(รวมปกติ!E44), COLUMN(รวมปกติ!E44), 4), ""), รวมปกติ!E44)</f>
        <v>1</v>
      </c>
      <c r="G45" s="186">
        <f>HYPERLINK(IF($L$1="เปิด", "#'รวมปกติ'!" &amp; ADDRESS(ROW(รวมปกติ!F44), COLUMN(รวมปกติ!F44), 4), ""), รวมปกติ!F44)</f>
        <v>2.76</v>
      </c>
      <c r="H45" s="187"/>
      <c r="I45" s="12">
        <f>HYPERLINK(IF($L$1="เปิด", "#'รวมพิเศษ'!" &amp; ADDRESS(ROW(รวมพิเศษ!C44), COLUMN(รวมพิเศษ!C44), 4), ""), รวมพิเศษ!C44)</f>
        <v>0</v>
      </c>
      <c r="J45" s="12">
        <f>HYPERLINK(IF($L$1="เปิด", "#'รวมพิเศษ'!" &amp; ADDRESS(ROW(รวมพิเศษ!D44), COLUMN(รวมพิเศษ!D44), 4), ""), รวมพิเศษ!D44)</f>
        <v>0</v>
      </c>
      <c r="K45" s="12">
        <f>HYPERLINK(IF($L$1="เปิด", "#'รวมพิเศษ'!" &amp; ADDRESS(ROW(รวมพิเศษ!E44), COLUMN(รวมพิเศษ!E44), 4), ""), รวมพิเศษ!E44)</f>
        <v>0</v>
      </c>
      <c r="L45" s="186">
        <f>HYPERLINK(IF($L$1="เปิด", "#'รวมพิเศษ'!" &amp; ADDRESS(ROW(รวมพิเศษ!F44), COLUMN(รวมพิเศษ!F44), 4), ""), รวมพิเศษ!F44)</f>
        <v>0</v>
      </c>
      <c r="M45" s="187"/>
      <c r="N45" s="280">
        <f t="shared" si="5"/>
        <v>3.5</v>
      </c>
      <c r="O45" s="12">
        <f t="shared" si="6"/>
        <v>1</v>
      </c>
      <c r="P45" s="12">
        <f t="shared" si="7"/>
        <v>1</v>
      </c>
      <c r="Q45" s="186">
        <f t="shared" si="8"/>
        <v>2.76</v>
      </c>
      <c r="R45" s="282">
        <f t="shared" si="9"/>
        <v>0</v>
      </c>
    </row>
    <row r="46" spans="1:18" ht="21" x14ac:dyDescent="0.35">
      <c r="A46" s="9" t="s">
        <v>85</v>
      </c>
      <c r="B46" s="120"/>
      <c r="C46" s="8" t="s">
        <v>8</v>
      </c>
      <c r="D46" s="182">
        <f>HYPERLINK(IF($L$1="เปิด", "#'รวมปกติ'!" &amp; ADDRESS(ROW(รวมปกติ!C45), COLUMN(รวมปกติ!C45), 4), ""), รวมปกติ!C45)</f>
        <v>764.39</v>
      </c>
      <c r="E46" s="13">
        <f>HYPERLINK(IF($L$1="เปิด", "#'รวมปกติ'!" &amp; ADDRESS(ROW(รวมปกติ!D45), COLUMN(รวมปกติ!D45), 4), ""), รวมปกติ!D45)</f>
        <v>656.06</v>
      </c>
      <c r="F46" s="13">
        <f>HYPERLINK(IF($L$1="เปิด", "#'รวมปกติ'!" &amp; ADDRESS(ROW(รวมปกติ!E45), COLUMN(รวมปกติ!E45), 4), ""), รวมปกติ!E45)</f>
        <v>3.17</v>
      </c>
      <c r="G46" s="188">
        <f>HYPERLINK(IF($L$1="เปิด", "#'รวมปกติ'!" &amp; ADDRESS(ROW(รวมปกติ!F45), COLUMN(รวมปกติ!F45), 4), ""), รวมปกติ!F45)</f>
        <v>711.81</v>
      </c>
      <c r="H46" s="189">
        <f>HYPERLINK(IF($L$1="เปิด", "#'รวมปกติ'!" &amp; ADDRESS(ROW(รวมปกติ!G45), COLUMN(รวมปกติ!G45), 4), ""), รวมปกติ!G45)</f>
        <v>711.81</v>
      </c>
      <c r="I46" s="13">
        <f>HYPERLINK(IF($L$1="เปิด", "#'รวมพิเศษ'!" &amp; ADDRESS(ROW(รวมพิเศษ!C45), COLUMN(รวมพิเศษ!C45), 4), ""), รวมพิเศษ!C45)</f>
        <v>0</v>
      </c>
      <c r="J46" s="13">
        <f>HYPERLINK(IF($L$1="เปิด", "#'รวมพิเศษ'!" &amp; ADDRESS(ROW(รวมพิเศษ!D45), COLUMN(รวมพิเศษ!D45), 4), ""), รวมพิเศษ!D45)</f>
        <v>0</v>
      </c>
      <c r="K46" s="13">
        <f>HYPERLINK(IF($L$1="เปิด", "#'รวมพิเศษ'!" &amp; ADDRESS(ROW(รวมพิเศษ!E45), COLUMN(รวมพิเศษ!E45), 4), ""), รวมพิเศษ!E45)</f>
        <v>0</v>
      </c>
      <c r="L46" s="188">
        <f>HYPERLINK(IF($L$1="เปิด", "#'รวมพิเศษ'!" &amp; ADDRESS(ROW(รวมพิเศษ!F45), COLUMN(รวมพิเศษ!F45), 4), ""), รวมพิเศษ!F45)</f>
        <v>0</v>
      </c>
      <c r="M46" s="189">
        <f>HYPERLINK(IF($L$1="เปิด", "#'รวมพิเศษ'!" &amp; ADDRESS(ROW(รวมพิเศษ!G45), COLUMN(รวมพิเศษ!G45), 4), ""), รวมพิเศษ!G45)</f>
        <v>0</v>
      </c>
      <c r="N46" s="181">
        <f t="shared" si="5"/>
        <v>764.39</v>
      </c>
      <c r="O46" s="11">
        <f t="shared" si="6"/>
        <v>656.06</v>
      </c>
      <c r="P46" s="11">
        <f t="shared" si="7"/>
        <v>3.17</v>
      </c>
      <c r="Q46" s="184">
        <f t="shared" si="8"/>
        <v>711.81</v>
      </c>
      <c r="R46" s="283">
        <f t="shared" si="9"/>
        <v>711.81</v>
      </c>
    </row>
    <row r="47" spans="1:18" ht="21" x14ac:dyDescent="0.35">
      <c r="A47" s="125" t="str">
        <f>HYPERLINK(IF($L$1="เปิด", "#'รวมปกติ'!A45", "#C47"), IF($L$1="เปิด", "ไปรวมปกติ (A45)", ""))</f>
        <v/>
      </c>
      <c r="B47" s="126" t="str">
        <f>HYPERLINK(IF($L$1="เปิด", "#'รวมพิเศษ'!A45", "#D47"), IF($L$1="เปิด", "ไปรวมพิเศษ (A45)", ""))</f>
        <v/>
      </c>
      <c r="C47" s="7" t="s">
        <v>97</v>
      </c>
      <c r="D47" s="180">
        <f>HYPERLINK(IF($L$1="เปิด", "#'รวมปกติ'!" &amp; ADDRESS(ROW(รวมปกติ!C46), COLUMN(รวมปกติ!C46), 4), ""), รวมปกติ!C46)</f>
        <v>0</v>
      </c>
      <c r="E47" s="12">
        <f>HYPERLINK(IF($L$1="เปิด", "#'รวมปกติ'!" &amp; ADDRESS(ROW(รวมปกติ!D46), COLUMN(รวมปกติ!D46), 4), ""), รวมปกติ!D46)</f>
        <v>0</v>
      </c>
      <c r="F47" s="12">
        <f>HYPERLINK(IF($L$1="เปิด", "#'รวมปกติ'!" &amp; ADDRESS(ROW(รวมปกติ!E46), COLUMN(รวมปกติ!E46), 4), ""), รวมปกติ!E46)</f>
        <v>0</v>
      </c>
      <c r="G47" s="186">
        <f>HYPERLINK(IF($L$1="เปิด", "#'รวมปกติ'!" &amp; ADDRESS(ROW(รวมปกติ!F46), COLUMN(รวมปกติ!F46), 4), ""), รวมปกติ!F46)</f>
        <v>0</v>
      </c>
      <c r="H47" s="187"/>
      <c r="I47" s="12">
        <f>HYPERLINK(IF($L$1="เปิด", "#'รวมพิเศษ'!" &amp; ADDRESS(ROW(รวมพิเศษ!C46), COLUMN(รวมพิเศษ!C46), 4), ""), รวมพิเศษ!C46)</f>
        <v>0</v>
      </c>
      <c r="J47" s="12">
        <f>HYPERLINK(IF($L$1="เปิด", "#'รวมพิเศษ'!" &amp; ADDRESS(ROW(รวมพิเศษ!D46), COLUMN(รวมพิเศษ!D46), 4), ""), รวมพิเศษ!D46)</f>
        <v>0</v>
      </c>
      <c r="K47" s="12">
        <f>HYPERLINK(IF($L$1="เปิด", "#'รวมพิเศษ'!" &amp; ADDRESS(ROW(รวมพิเศษ!E46), COLUMN(รวมพิเศษ!E46), 4), ""), รวมพิเศษ!E46)</f>
        <v>0</v>
      </c>
      <c r="L47" s="186">
        <f>HYPERLINK(IF($L$1="เปิด", "#'รวมพิเศษ'!" &amp; ADDRESS(ROW(รวมพิเศษ!F46), COLUMN(รวมพิเศษ!F46), 4), ""), รวมพิเศษ!F46)</f>
        <v>0</v>
      </c>
      <c r="M47" s="187"/>
      <c r="N47" s="280">
        <f t="shared" si="5"/>
        <v>0</v>
      </c>
      <c r="O47" s="12">
        <f t="shared" si="6"/>
        <v>0</v>
      </c>
      <c r="P47" s="12">
        <f t="shared" si="7"/>
        <v>0</v>
      </c>
      <c r="Q47" s="186">
        <f t="shared" si="8"/>
        <v>0</v>
      </c>
      <c r="R47" s="282">
        <f t="shared" si="9"/>
        <v>0</v>
      </c>
    </row>
    <row r="48" spans="1:18" ht="21" x14ac:dyDescent="0.35">
      <c r="A48" s="9" t="s">
        <v>86</v>
      </c>
      <c r="B48" s="120"/>
      <c r="C48" s="8" t="s">
        <v>8</v>
      </c>
      <c r="D48" s="182">
        <f>HYPERLINK(IF($L$1="เปิด", "#'รวมปกติ'!" &amp; ADDRESS(ROW(รวมปกติ!C47), COLUMN(รวมปกติ!C47), 4), ""), รวมปกติ!C47)</f>
        <v>106.67</v>
      </c>
      <c r="E48" s="13">
        <f>HYPERLINK(IF($L$1="เปิด", "#'รวมปกติ'!" &amp; ADDRESS(ROW(รวมปกติ!D47), COLUMN(รวมปกติ!D47), 4), ""), รวมปกติ!D47)</f>
        <v>109.83</v>
      </c>
      <c r="F48" s="13">
        <f>HYPERLINK(IF($L$1="เปิด", "#'รวมปกติ'!" &amp; ADDRESS(ROW(รวมปกติ!E47), COLUMN(รวมปกติ!E47), 4), ""), รวมปกติ!E47)</f>
        <v>1.28</v>
      </c>
      <c r="G48" s="188">
        <f>HYPERLINK(IF($L$1="เปิด", "#'รวมปกติ'!" &amp; ADDRESS(ROW(รวมปกติ!F47), COLUMN(รวมปกติ!F47), 4), ""), รวมปกติ!F47)</f>
        <v>108.89</v>
      </c>
      <c r="H48" s="189">
        <f>HYPERLINK(IF($L$1="เปิด", "#'รวมปกติ'!" &amp; ADDRESS(ROW(รวมปกติ!G47), COLUMN(รวมปกติ!G47), 4), ""), รวมปกติ!G47)</f>
        <v>108.89</v>
      </c>
      <c r="I48" s="13">
        <f>HYPERLINK(IF($L$1="เปิด", "#'รวมพิเศษ'!" &amp; ADDRESS(ROW(รวมพิเศษ!C47), COLUMN(รวมพิเศษ!C47), 4), ""), รวมพิเศษ!C47)</f>
        <v>0</v>
      </c>
      <c r="J48" s="13">
        <f>HYPERLINK(IF($L$1="เปิด", "#'รวมพิเศษ'!" &amp; ADDRESS(ROW(รวมพิเศษ!D47), COLUMN(รวมพิเศษ!D47), 4), ""), รวมพิเศษ!D47)</f>
        <v>0</v>
      </c>
      <c r="K48" s="13">
        <f>HYPERLINK(IF($L$1="เปิด", "#'รวมพิเศษ'!" &amp; ADDRESS(ROW(รวมพิเศษ!E47), COLUMN(รวมพิเศษ!E47), 4), ""), รวมพิเศษ!E47)</f>
        <v>0</v>
      </c>
      <c r="L48" s="188">
        <f>HYPERLINK(IF($L$1="เปิด", "#'รวมพิเศษ'!" &amp; ADDRESS(ROW(รวมพิเศษ!F47), COLUMN(รวมพิเศษ!F47), 4), ""), รวมพิเศษ!F47)</f>
        <v>0</v>
      </c>
      <c r="M48" s="189">
        <f>HYPERLINK(IF($L$1="เปิด", "#'รวมพิเศษ'!" &amp; ADDRESS(ROW(รวมพิเศษ!G47), COLUMN(รวมพิเศษ!G47), 4), ""), รวมพิเศษ!G47)</f>
        <v>0</v>
      </c>
      <c r="N48" s="181">
        <f t="shared" si="5"/>
        <v>106.67</v>
      </c>
      <c r="O48" s="11">
        <f t="shared" si="6"/>
        <v>109.83</v>
      </c>
      <c r="P48" s="11">
        <f t="shared" si="7"/>
        <v>1.28</v>
      </c>
      <c r="Q48" s="184">
        <f t="shared" si="8"/>
        <v>108.89</v>
      </c>
      <c r="R48" s="283">
        <f t="shared" si="9"/>
        <v>108.89</v>
      </c>
    </row>
    <row r="49" spans="1:18" ht="21" x14ac:dyDescent="0.35">
      <c r="A49" s="125" t="str">
        <f>HYPERLINK(IF($L$1="เปิด", "#'รวมปกติ'!A47", "#C49"), IF($L$1="เปิด", "ไปรวมปกติ (A47)", ""))</f>
        <v/>
      </c>
      <c r="B49" s="126" t="str">
        <f>HYPERLINK(IF($L$1="เปิด", "#'รวมพิเศษ'!A47", "#D49"), IF($L$1="เปิด", "ไปรวมพิเศษ (A47)", ""))</f>
        <v/>
      </c>
      <c r="C49" s="7" t="s">
        <v>97</v>
      </c>
      <c r="D49" s="180">
        <f>HYPERLINK(IF($L$1="เปิด", "#'รวมปกติ'!" &amp; ADDRESS(ROW(รวมปกติ!C48), COLUMN(รวมปกติ!C48), 4), ""), รวมปกติ!C48)</f>
        <v>0</v>
      </c>
      <c r="E49" s="12">
        <f>HYPERLINK(IF($L$1="เปิด", "#'รวมปกติ'!" &amp; ADDRESS(ROW(รวมปกติ!D48), COLUMN(รวมปกติ!D48), 4), ""), รวมปกติ!D48)</f>
        <v>0</v>
      </c>
      <c r="F49" s="12">
        <f>HYPERLINK(IF($L$1="เปิด", "#'รวมปกติ'!" &amp; ADDRESS(ROW(รวมปกติ!E48), COLUMN(รวมปกติ!E48), 4), ""), รวมปกติ!E48)</f>
        <v>0</v>
      </c>
      <c r="G49" s="186">
        <f>HYPERLINK(IF($L$1="เปิด", "#'รวมปกติ'!" &amp; ADDRESS(ROW(รวมปกติ!F48), COLUMN(รวมปกติ!F48), 4), ""), รวมปกติ!F48)</f>
        <v>0</v>
      </c>
      <c r="H49" s="187"/>
      <c r="I49" s="12">
        <f>HYPERLINK(IF($L$1="เปิด", "#'รวมพิเศษ'!" &amp; ADDRESS(ROW(รวมพิเศษ!C48), COLUMN(รวมพิเศษ!C48), 4), ""), รวมพิเศษ!C48)</f>
        <v>0</v>
      </c>
      <c r="J49" s="12">
        <f>HYPERLINK(IF($L$1="เปิด", "#'รวมพิเศษ'!" &amp; ADDRESS(ROW(รวมพิเศษ!D48), COLUMN(รวมพิเศษ!D48), 4), ""), รวมพิเศษ!D48)</f>
        <v>0</v>
      </c>
      <c r="K49" s="12">
        <f>HYPERLINK(IF($L$1="เปิด", "#'รวมพิเศษ'!" &amp; ADDRESS(ROW(รวมพิเศษ!E48), COLUMN(รวมพิเศษ!E48), 4), ""), รวมพิเศษ!E48)</f>
        <v>0</v>
      </c>
      <c r="L49" s="186">
        <f>HYPERLINK(IF($L$1="เปิด", "#'รวมพิเศษ'!" &amp; ADDRESS(ROW(รวมพิเศษ!F48), COLUMN(รวมพิเศษ!F48), 4), ""), รวมพิเศษ!F48)</f>
        <v>0</v>
      </c>
      <c r="M49" s="187"/>
      <c r="N49" s="280">
        <f t="shared" si="5"/>
        <v>0</v>
      </c>
      <c r="O49" s="12">
        <f t="shared" si="6"/>
        <v>0</v>
      </c>
      <c r="P49" s="12">
        <f t="shared" si="7"/>
        <v>0</v>
      </c>
      <c r="Q49" s="186">
        <f t="shared" si="8"/>
        <v>0</v>
      </c>
      <c r="R49" s="282">
        <f t="shared" si="9"/>
        <v>0</v>
      </c>
    </row>
    <row r="50" spans="1:18" ht="21" x14ac:dyDescent="0.35">
      <c r="A50" s="9" t="s">
        <v>89</v>
      </c>
      <c r="B50" s="120"/>
      <c r="C50" s="8" t="s">
        <v>8</v>
      </c>
      <c r="D50" s="182">
        <f>HYPERLINK(IF($L$1="เปิด", "#'รวมปกติ'!" &amp; ADDRESS(ROW(รวมปกติ!C49), COLUMN(รวมปกติ!C49), 4), ""), รวมปกติ!C49)</f>
        <v>481.33</v>
      </c>
      <c r="E50" s="13">
        <f>HYPERLINK(IF($L$1="เปิด", "#'รวมปกติ'!" &amp; ADDRESS(ROW(รวมปกติ!D49), COLUMN(รวมปกติ!D49), 4), ""), รวมปกติ!D49)</f>
        <v>342.89</v>
      </c>
      <c r="F50" s="13">
        <f>HYPERLINK(IF($L$1="เปิด", "#'รวมปกติ'!" &amp; ADDRESS(ROW(รวมปกติ!E49), COLUMN(รวมปกติ!E49), 4), ""), รวมปกติ!E49)</f>
        <v>20.94</v>
      </c>
      <c r="G50" s="188">
        <f>HYPERLINK(IF($L$1="เปิด", "#'รวมปกติ'!" &amp; ADDRESS(ROW(รวมปกติ!F49), COLUMN(รวมปกติ!F49), 4), ""), รวมปกติ!F49)</f>
        <v>422.58</v>
      </c>
      <c r="H50" s="189">
        <f>HYPERLINK(IF($L$1="เปิด", "#'รวมปกติ'!" &amp; ADDRESS(ROW(รวมปกติ!G49), COLUMN(รวมปกติ!G49), 4), ""), รวมปกติ!G49)</f>
        <v>422.58</v>
      </c>
      <c r="I50" s="13">
        <f>HYPERLINK(IF($L$1="เปิด", "#'รวมพิเศษ'!" &amp; ADDRESS(ROW(รวมพิเศษ!C49), COLUMN(รวมพิเศษ!C49), 4), ""), รวมพิเศษ!C49)</f>
        <v>44.5</v>
      </c>
      <c r="J50" s="13">
        <f>HYPERLINK(IF($L$1="เปิด", "#'รวมพิเศษ'!" &amp; ADDRESS(ROW(รวมพิเศษ!D49), COLUMN(รวมพิเศษ!D49), 4), ""), รวมพิเศษ!D49)</f>
        <v>30.11</v>
      </c>
      <c r="K50" s="13">
        <f>HYPERLINK(IF($L$1="เปิด", "#'รวมพิเศษ'!" &amp; ADDRESS(ROW(รวมพิเศษ!E49), COLUMN(รวมพิเศษ!E49), 4), ""), รวมพิเศษ!E49)</f>
        <v>0</v>
      </c>
      <c r="L50" s="188">
        <f>HYPERLINK(IF($L$1="เปิด", "#'รวมพิเศษ'!" &amp; ADDRESS(ROW(รวมพิเศษ!F49), COLUMN(รวมพิเศษ!F49), 4), ""), รวมพิเศษ!F49)</f>
        <v>0</v>
      </c>
      <c r="M50" s="189">
        <f>HYPERLINK(IF($L$1="เปิด", "#'รวมพิเศษ'!" &amp; ADDRESS(ROW(รวมพิเศษ!G49), COLUMN(รวมพิเศษ!G49), 4), ""), รวมพิเศษ!G49)</f>
        <v>0</v>
      </c>
      <c r="N50" s="181">
        <f t="shared" si="5"/>
        <v>525.82999999999993</v>
      </c>
      <c r="O50" s="11">
        <f t="shared" si="6"/>
        <v>373</v>
      </c>
      <c r="P50" s="11">
        <f t="shared" si="7"/>
        <v>20.94</v>
      </c>
      <c r="Q50" s="184">
        <f t="shared" si="8"/>
        <v>422.58</v>
      </c>
      <c r="R50" s="283">
        <f t="shared" si="9"/>
        <v>422.58</v>
      </c>
    </row>
    <row r="51" spans="1:18" ht="21" x14ac:dyDescent="0.35">
      <c r="A51" s="125" t="str">
        <f>HYPERLINK(IF($L$1="เปิด", "#'รวมปกติ'!A49", "#C51"), IF($L$1="เปิด", "ไปรวมปกติ (A49)", ""))</f>
        <v/>
      </c>
      <c r="B51" s="126" t="str">
        <f>HYPERLINK(IF($L$1="เปิด", "#'รวมพิเศษ'!A49", "#D51"), IF($L$1="เปิด", "ไปรวมพิเศษ (A49)", ""))</f>
        <v/>
      </c>
      <c r="C51" s="7" t="s">
        <v>97</v>
      </c>
      <c r="D51" s="180">
        <f>HYPERLINK(IF($L$1="เปิด", "#'รวมปกติ'!" &amp; ADDRESS(ROW(รวมปกติ!C50), COLUMN(รวมปกติ!C50), 4), ""), รวมปกติ!C50)</f>
        <v>0</v>
      </c>
      <c r="E51" s="12">
        <f>HYPERLINK(IF($L$1="เปิด", "#'รวมปกติ'!" &amp; ADDRESS(ROW(รวมปกติ!D50), COLUMN(รวมปกติ!D50), 4), ""), รวมปกติ!D50)</f>
        <v>0</v>
      </c>
      <c r="F51" s="12">
        <f>HYPERLINK(IF($L$1="เปิด", "#'รวมปกติ'!" &amp; ADDRESS(ROW(รวมปกติ!E50), COLUMN(รวมปกติ!E50), 4), ""), รวมปกติ!E50)</f>
        <v>0</v>
      </c>
      <c r="G51" s="186">
        <f>HYPERLINK(IF($L$1="เปิด", "#'รวมปกติ'!" &amp; ADDRESS(ROW(รวมปกติ!F50), COLUMN(รวมปกติ!F50), 4), ""), รวมปกติ!F50)</f>
        <v>0</v>
      </c>
      <c r="H51" s="187"/>
      <c r="I51" s="12">
        <f>HYPERLINK(IF($L$1="เปิด", "#'รวมพิเศษ'!" &amp; ADDRESS(ROW(รวมพิเศษ!C50), COLUMN(รวมพิเศษ!C50), 4), ""), รวมพิเศษ!C50)</f>
        <v>0</v>
      </c>
      <c r="J51" s="12">
        <f>HYPERLINK(IF($L$1="เปิด", "#'รวมพิเศษ'!" &amp; ADDRESS(ROW(รวมพิเศษ!D50), COLUMN(รวมพิเศษ!D50), 4), ""), รวมพิเศษ!D50)</f>
        <v>0</v>
      </c>
      <c r="K51" s="12">
        <f>HYPERLINK(IF($L$1="เปิด", "#'รวมพิเศษ'!" &amp; ADDRESS(ROW(รวมพิเศษ!E50), COLUMN(รวมพิเศษ!E50), 4), ""), รวมพิเศษ!E50)</f>
        <v>0</v>
      </c>
      <c r="L51" s="186">
        <f>HYPERLINK(IF($L$1="เปิด", "#'รวมพิเศษ'!" &amp; ADDRESS(ROW(รวมพิเศษ!F50), COLUMN(รวมพิเศษ!F50), 4), ""), รวมพิเศษ!F50)</f>
        <v>0</v>
      </c>
      <c r="M51" s="187"/>
      <c r="N51" s="280">
        <f t="shared" si="5"/>
        <v>0</v>
      </c>
      <c r="O51" s="12">
        <f t="shared" si="6"/>
        <v>0</v>
      </c>
      <c r="P51" s="12">
        <f t="shared" si="7"/>
        <v>0</v>
      </c>
      <c r="Q51" s="186">
        <f t="shared" si="8"/>
        <v>0</v>
      </c>
      <c r="R51" s="282">
        <f t="shared" si="9"/>
        <v>0</v>
      </c>
    </row>
    <row r="52" spans="1:18" ht="21" x14ac:dyDescent="0.35">
      <c r="A52" s="9" t="s">
        <v>90</v>
      </c>
      <c r="B52" s="120"/>
      <c r="C52" s="8" t="s">
        <v>8</v>
      </c>
      <c r="D52" s="182">
        <f>HYPERLINK(IF($L$1="เปิด", "#'รวมปกติ'!" &amp; ADDRESS(ROW(รวมปกติ!C51), COLUMN(รวมปกติ!C51), 4), ""), รวมปกติ!C51)</f>
        <v>32.94</v>
      </c>
      <c r="E52" s="13">
        <f>HYPERLINK(IF($L$1="เปิด", "#'รวมปกติ'!" &amp; ADDRESS(ROW(รวมปกติ!D51), COLUMN(รวมปกติ!D51), 4), ""), รวมปกติ!D51)</f>
        <v>37.06</v>
      </c>
      <c r="F52" s="13">
        <f>HYPERLINK(IF($L$1="เปิด", "#'รวมปกติ'!" &amp; ADDRESS(ROW(รวมปกติ!E51), COLUMN(รวมปกติ!E51), 4), ""), รวมปกติ!E51)</f>
        <v>2</v>
      </c>
      <c r="G52" s="188">
        <f>HYPERLINK(IF($L$1="เปิด", "#'รวมปกติ'!" &amp; ADDRESS(ROW(รวมปกติ!F51), COLUMN(รวมปกติ!F51), 4), ""), รวมปกติ!F51)</f>
        <v>36</v>
      </c>
      <c r="H52" s="189">
        <f>HYPERLINK(IF($L$1="เปิด", "#'รวมปกติ'!" &amp; ADDRESS(ROW(รวมปกติ!G51), COLUMN(รวมปกติ!G51), 4), ""), รวมปกติ!G51)</f>
        <v>36</v>
      </c>
      <c r="I52" s="13">
        <f>HYPERLINK(IF($L$1="เปิด", "#'รวมพิเศษ'!" &amp; ADDRESS(ROW(รวมพิเศษ!C51), COLUMN(รวมพิเศษ!C51), 4), ""), รวมพิเศษ!C51)</f>
        <v>0</v>
      </c>
      <c r="J52" s="13">
        <f>HYPERLINK(IF($L$1="เปิด", "#'รวมพิเศษ'!" &amp; ADDRESS(ROW(รวมพิเศษ!D51), COLUMN(รวมพิเศษ!D51), 4), ""), รวมพิเศษ!D51)</f>
        <v>0</v>
      </c>
      <c r="K52" s="13">
        <f>HYPERLINK(IF($L$1="เปิด", "#'รวมพิเศษ'!" &amp; ADDRESS(ROW(รวมพิเศษ!E51), COLUMN(รวมพิเศษ!E51), 4), ""), รวมพิเศษ!E51)</f>
        <v>0</v>
      </c>
      <c r="L52" s="188">
        <f>HYPERLINK(IF($L$1="เปิด", "#'รวมพิเศษ'!" &amp; ADDRESS(ROW(รวมพิเศษ!F51), COLUMN(รวมพิเศษ!F51), 4), ""), รวมพิเศษ!F51)</f>
        <v>0</v>
      </c>
      <c r="M52" s="189">
        <f>HYPERLINK(IF($L$1="เปิด", "#'รวมพิเศษ'!" &amp; ADDRESS(ROW(รวมพิเศษ!G51), COLUMN(รวมพิเศษ!G51), 4), ""), รวมพิเศษ!G51)</f>
        <v>0</v>
      </c>
      <c r="N52" s="181">
        <f t="shared" si="5"/>
        <v>32.94</v>
      </c>
      <c r="O52" s="11">
        <f t="shared" si="6"/>
        <v>37.06</v>
      </c>
      <c r="P52" s="11">
        <f t="shared" si="7"/>
        <v>2</v>
      </c>
      <c r="Q52" s="184">
        <f t="shared" si="8"/>
        <v>36</v>
      </c>
      <c r="R52" s="283">
        <f t="shared" si="9"/>
        <v>36</v>
      </c>
    </row>
    <row r="53" spans="1:18" ht="21" x14ac:dyDescent="0.35">
      <c r="A53" s="125" t="str">
        <f>HYPERLINK(IF($L$1="เปิด", "#'รวมปกติ'!A51", "#C53"), IF($L$1="เปิด", "ไปรวมปกติ (A51)", ""))</f>
        <v/>
      </c>
      <c r="B53" s="126" t="str">
        <f>HYPERLINK(IF($L$1="เปิด", "#'รวมพิเศษ'!A51", "#D53"), IF($L$1="เปิด", "ไปรวมพิเศษ (A51)", ""))</f>
        <v/>
      </c>
      <c r="C53" s="7" t="s">
        <v>97</v>
      </c>
      <c r="D53" s="180">
        <f>HYPERLINK(IF($L$1="เปิด", "#'รวมปกติ'!" &amp; ADDRESS(ROW(รวมปกติ!C52), COLUMN(รวมปกติ!C52), 4), ""), รวมปกติ!C52)</f>
        <v>0</v>
      </c>
      <c r="E53" s="12">
        <f>HYPERLINK(IF($L$1="เปิด", "#'รวมปกติ'!" &amp; ADDRESS(ROW(รวมปกติ!D52), COLUMN(รวมปกติ!D52), 4), ""), รวมปกติ!D52)</f>
        <v>0</v>
      </c>
      <c r="F53" s="12">
        <f>HYPERLINK(IF($L$1="เปิด", "#'รวมปกติ'!" &amp; ADDRESS(ROW(รวมปกติ!E52), COLUMN(รวมปกติ!E52), 4), ""), รวมปกติ!E52)</f>
        <v>0</v>
      </c>
      <c r="G53" s="186">
        <f>HYPERLINK(IF($L$1="เปิด", "#'รวมปกติ'!" &amp; ADDRESS(ROW(รวมปกติ!F52), COLUMN(รวมปกติ!F52), 4), ""), รวมปกติ!F52)</f>
        <v>0</v>
      </c>
      <c r="H53" s="187"/>
      <c r="I53" s="12">
        <f>HYPERLINK(IF($L$1="เปิด", "#'รวมพิเศษ'!" &amp; ADDRESS(ROW(รวมพิเศษ!C52), COLUMN(รวมพิเศษ!C52), 4), ""), รวมพิเศษ!C52)</f>
        <v>0</v>
      </c>
      <c r="J53" s="12">
        <f>HYPERLINK(IF($L$1="เปิด", "#'รวมพิเศษ'!" &amp; ADDRESS(ROW(รวมพิเศษ!D52), COLUMN(รวมพิเศษ!D52), 4), ""), รวมพิเศษ!D52)</f>
        <v>0</v>
      </c>
      <c r="K53" s="12">
        <f>HYPERLINK(IF($L$1="เปิด", "#'รวมพิเศษ'!" &amp; ADDRESS(ROW(รวมพิเศษ!E52), COLUMN(รวมพิเศษ!E52), 4), ""), รวมพิเศษ!E52)</f>
        <v>0</v>
      </c>
      <c r="L53" s="186">
        <f>HYPERLINK(IF($L$1="เปิด", "#'รวมพิเศษ'!" &amp; ADDRESS(ROW(รวมพิเศษ!F52), COLUMN(รวมพิเศษ!F52), 4), ""), รวมพิเศษ!F52)</f>
        <v>0</v>
      </c>
      <c r="M53" s="187"/>
      <c r="N53" s="180">
        <f t="shared" si="5"/>
        <v>0</v>
      </c>
      <c r="O53" s="12">
        <f t="shared" si="6"/>
        <v>0</v>
      </c>
      <c r="P53" s="12">
        <f t="shared" si="7"/>
        <v>0</v>
      </c>
      <c r="Q53" s="186">
        <f t="shared" si="8"/>
        <v>0</v>
      </c>
      <c r="R53" s="282">
        <f t="shared" si="9"/>
        <v>0</v>
      </c>
    </row>
    <row r="54" spans="1:18" ht="21.75" thickBot="1" x14ac:dyDescent="0.4">
      <c r="A54" s="105" t="s">
        <v>92</v>
      </c>
      <c r="B54" s="112"/>
      <c r="C54" s="106"/>
      <c r="D54" s="107">
        <f t="shared" ref="D54:R54" si="10">SUM(D4:D53)</f>
        <v>23526.410999999996</v>
      </c>
      <c r="E54" s="107">
        <f t="shared" si="10"/>
        <v>21562.135000000002</v>
      </c>
      <c r="F54" s="107">
        <f t="shared" si="10"/>
        <v>342.77000000000004</v>
      </c>
      <c r="G54" s="107">
        <f t="shared" si="10"/>
        <v>22715.681999999997</v>
      </c>
      <c r="H54" s="107">
        <f t="shared" si="10"/>
        <v>22715.682000000001</v>
      </c>
      <c r="I54" s="107">
        <f t="shared" si="10"/>
        <v>4504.4360000000015</v>
      </c>
      <c r="J54" s="107">
        <f t="shared" si="10"/>
        <v>4101.4849999999997</v>
      </c>
      <c r="K54" s="107">
        <f t="shared" si="10"/>
        <v>676.38499999999988</v>
      </c>
      <c r="L54" s="107">
        <f t="shared" si="10"/>
        <v>4496.8159999999998</v>
      </c>
      <c r="M54" s="107">
        <f t="shared" si="10"/>
        <v>4496.8159999999998</v>
      </c>
      <c r="N54" s="107">
        <f t="shared" si="10"/>
        <v>28030.846999999991</v>
      </c>
      <c r="O54" s="107">
        <f t="shared" si="10"/>
        <v>25663.62</v>
      </c>
      <c r="P54" s="107">
        <f t="shared" si="10"/>
        <v>1019.1549999999997</v>
      </c>
      <c r="Q54" s="107">
        <f t="shared" si="10"/>
        <v>27212.498</v>
      </c>
      <c r="R54" s="284">
        <f t="shared" si="10"/>
        <v>27212.498000000007</v>
      </c>
    </row>
  </sheetData>
  <mergeCells count="2">
    <mergeCell ref="C2:C3"/>
    <mergeCell ref="A2:B3"/>
  </mergeCells>
  <conditionalFormatting sqref="A5:B5 A7:B7 A9:B9 A11:B11 A13:B13 A15:B15 A17:B17 A19:B19 A21:B21 A23:B23 A25:B25 A27:B27 A29:B29 A31:B31 A33:B33 A35:B35 A37:B37 A39:B39 A41:B41 A43:B43 A45:B45 A47:B47 A49:B49 A51:B51 A53:B53">
    <cfRule type="expression" dxfId="3" priority="5">
      <formula>$L$1="เปิด"</formula>
    </cfRule>
  </conditionalFormatting>
  <conditionalFormatting sqref="D4:R53">
    <cfRule type="expression" dxfId="2" priority="1">
      <formula>$L$1="เปิด"</formula>
    </cfRule>
  </conditionalFormatting>
  <conditionalFormatting sqref="D4:R54">
    <cfRule type="expression" dxfId="1" priority="4">
      <formula>ABS(D4-INT(D4))&lt;0.01</formula>
    </cfRule>
  </conditionalFormatting>
  <conditionalFormatting sqref="L1">
    <cfRule type="expression" dxfId="0" priority="6">
      <formula>$L$1="ปิด"</formula>
    </cfRule>
  </conditionalFormatting>
  <dataValidations count="1">
    <dataValidation type="list" allowBlank="1" showInputMessage="1" showErrorMessage="1" sqref="L1" xr:uid="{1247DFA2-6244-4D40-B14A-E3FA51325AA9}">
      <formula1>"เปิด,ปิด"</formula1>
    </dataValidation>
  </dataValidations>
  <pageMargins left="0.25" right="0.25" top="0.24" bottom="0.17" header="0" footer="0"/>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ปกติ</vt:lpstr>
      <vt:lpstr>พิเศษ</vt:lpstr>
      <vt:lpstr>รวมปกติ</vt:lpstr>
      <vt:lpstr>รวมพิเศษ</vt:lpstr>
      <vt:lpstr>รวมปกติ+พิเศษ</vt:lpstr>
      <vt:lpstr>ค้นหาคณะ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Buu-Center</dc:creator>
  <cp:keywords/>
  <dc:description/>
  <cp:lastModifiedBy>Phubate Sripoomngen</cp:lastModifiedBy>
  <cp:revision/>
  <cp:lastPrinted>2026-01-21T07:55:01Z</cp:lastPrinted>
  <dcterms:created xsi:type="dcterms:W3CDTF">2019-11-04T08:11:43Z</dcterms:created>
  <dcterms:modified xsi:type="dcterms:W3CDTF">2026-08-03T09:27:37Z</dcterms:modified>
  <cp:category/>
  <cp:contentStatus/>
</cp:coreProperties>
</file>